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2"/>
  </bookViews>
  <sheets>
    <sheet name="січень" sheetId="1" r:id="rId1"/>
    <sheet name="лютий" sheetId="2" r:id="rId2"/>
    <sheet name="з початку року" sheetId="3" r:id="rId3"/>
    <sheet name="уточнення планових показників" sheetId="4" r:id="rId4"/>
  </sheets>
  <externalReferences>
    <externalReference r:id="rId7"/>
    <externalReference r:id="rId8"/>
    <externalReference r:id="rId9"/>
  </externalReferences>
  <definedNames>
    <definedName name="_xlnm.Print_Area" localSheetId="2">'з початку року'!$A$1:$P$47</definedName>
  </definedNames>
  <calcPr fullCalcOnLoad="1"/>
</workbook>
</file>

<file path=xl/sharedStrings.xml><?xml version="1.0" encoding="utf-8"?>
<sst xmlns="http://schemas.openxmlformats.org/spreadsheetml/2006/main" count="124" uniqueCount="83">
  <si>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</si>
  <si>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</si>
  <si>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</si>
  <si>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</si>
  <si>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</si>
  <si>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</si>
  <si>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</si>
  <si>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</si>
  <si>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</si>
  <si>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</si>
  <si>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</si>
  <si>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</si>
  <si>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</si>
  <si>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</si>
  <si>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</si>
  <si>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</si>
  <si>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</si>
  <si>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</si>
  <si>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</si>
  <si>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</si>
  <si>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</si>
  <si>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</si>
  <si>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</si>
  <si>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</si>
  <si>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</si>
  <si>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</si>
  <si>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</si>
  <si>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</si>
  <si>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</si>
  <si>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</si>
  <si>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</si>
  <si>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</si>
  <si>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</si>
  <si>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</si>
  <si>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</si>
  <si>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</si>
  <si>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</si>
  <si>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</si>
  <si>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</si>
  <si>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</si>
  <si>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</si>
  <si>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</si>
  <si>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</si>
  <si>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</si>
  <si>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</si>
  <si>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</si>
  <si>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</si>
  <si>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</si>
  <si>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</si>
  <si>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</si>
  <si>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</si>
  <si>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</si>
  <si>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</si>
  <si>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</si>
  <si>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</si>
  <si>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</si>
  <si>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</si>
  <si>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</si>
  <si>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</si>
  <si>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</si>
  <si>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>факт  на 01.02.17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</si>
  <si>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</si>
  <si>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</si>
  <si>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</si>
  <si>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</si>
  <si>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</si>
  <si>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січень 2019 року</t>
  </si>
  <si>
    <t xml:space="preserve">Динаміка надходжень до бюджету розвитку за січень 2019 р. </t>
  </si>
  <si>
    <t>Аналіз планових показників надходжень до загального фонду міського бюджету  2019 рік</t>
  </si>
  <si>
    <t>00.00.2019</t>
  </si>
  <si>
    <r>
      <t xml:space="preserve">станом на 30.01.2019р.           </t>
    </r>
    <r>
      <rPr>
        <sz val="10"/>
        <rFont val="Arial Cyr"/>
        <family val="0"/>
      </rPr>
      <t xml:space="preserve">  ( тис.грн.)</t>
    </r>
  </si>
  <si>
    <t>станом на 01.02.2019</t>
  </si>
  <si>
    <t>Динаміка надходжень податків та неподаткових платежів за лютий 2019 року</t>
  </si>
  <si>
    <t>Фактичні надходження (лютий)</t>
  </si>
  <si>
    <t xml:space="preserve">Динаміка надходжень до бюджету розвитку за лютий 2019 р. </t>
  </si>
  <si>
    <t>план на січень-лютий 2019р.</t>
  </si>
  <si>
    <t>станом на 13.02.2019</t>
  </si>
  <si>
    <r>
      <t xml:space="preserve">станом на 13.02.2019р.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</si>
  <si>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13.02.2019р.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</si>
  <si>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13.02.2019</t>
    </r>
    <r>
      <rPr>
        <sz val="10"/>
        <rFont val="Times New Roman"/>
        <family val="1"/>
      </rPr>
      <t xml:space="preserve"> (тис.грн.)</t>
    </r>
  </si>
  <si>
    <t>Розпис доходів ЗФ на 2019 рк</t>
  </si>
  <si>
    <t>Уточнений  розпис доходів</t>
  </si>
  <si>
    <t>Зміни до   розпису доходів станом на 13.02.2019р. :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</si>
</sst>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;@"/>
  </numFmts>
  <fonts count="8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8.2"/>
      <color indexed="8"/>
      <name val="Arial Cyr"/>
      <family val="0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3.65"/>
      <color indexed="8"/>
      <name val="Times New Roman"/>
      <family val="1"/>
    </font>
    <font>
      <sz val="4.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7.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0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2" fillId="25" borderId="1" applyNumberFormat="0" applyAlignment="0" applyProtection="0"/>
    <xf numFmtId="0" fontId="73" fillId="26" borderId="2" applyNumberFormat="0" applyAlignment="0" applyProtection="0"/>
    <xf numFmtId="0" fontId="74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27" borderId="7" applyNumberFormat="0" applyAlignment="0" applyProtection="0"/>
    <xf numFmtId="0" fontId="80" fillId="0" borderId="0" applyNumberFormat="0" applyFill="0" applyBorder="0" applyAlignment="0" applyProtection="0"/>
    <xf numFmtId="0" fontId="81" fillId="28" borderId="0" applyNumberFormat="0" applyBorder="0" applyAlignment="0" applyProtection="0"/>
    <xf numFmtId="0" fontId="70" fillId="0" borderId="0">
      <alignment/>
      <protection/>
    </xf>
    <xf numFmtId="0" fontId="6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6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8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7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4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2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Border="1" applyAlignment="1">
      <alignment/>
    </xf>
    <xf numFmtId="185" fontId="32" fillId="0" borderId="27" xfId="0" applyNumberFormat="1" applyFont="1" applyBorder="1" applyAlignment="1">
      <alignment/>
    </xf>
    <xf numFmtId="189" fontId="2" fillId="0" borderId="12" xfId="0" applyNumberFormat="1" applyFont="1" applyFill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7" fillId="0" borderId="42" xfId="0" applyFont="1" applyBorder="1" applyAlignment="1">
      <alignment horizontal="center" wrapText="1"/>
    </xf>
    <xf numFmtId="0" fontId="7" fillId="0" borderId="43" xfId="0" applyFont="1" applyBorder="1" applyAlignment="1">
      <alignment horizontal="center" wrapText="1"/>
    </xf>
    <xf numFmtId="0" fontId="7" fillId="0" borderId="44" xfId="0" applyFont="1" applyBorder="1" applyAlignment="1">
      <alignment horizontal="center" wrapText="1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51" xfId="0" applyNumberFormat="1" applyFont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52" xfId="0" applyNumberFormat="1" applyFont="1" applyBorder="1" applyAlignment="1">
      <alignment horizontal="center" vertical="center"/>
    </xf>
    <xf numFmtId="185" fontId="16" fillId="0" borderId="41" xfId="0" applyNumberFormat="1" applyFont="1" applyBorder="1" applyAlignment="1">
      <alignment horizontal="center" vertical="center"/>
    </xf>
    <xf numFmtId="185" fontId="16" fillId="0" borderId="53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46" xfId="0" applyNumberFormat="1" applyFont="1" applyBorder="1" applyAlignment="1">
      <alignment horizontal="center" vertical="center"/>
    </xf>
    <xf numFmtId="185" fontId="16" fillId="0" borderId="54" xfId="0" applyNumberFormat="1" applyFont="1" applyBorder="1" applyAlignment="1">
      <alignment horizontal="center" vertical="center"/>
    </xf>
    <xf numFmtId="185" fontId="2" fillId="0" borderId="55" xfId="0" applyNumberFormat="1" applyFont="1" applyBorder="1" applyAlignment="1">
      <alignment horizontal="center"/>
    </xf>
    <xf numFmtId="185" fontId="2" fillId="0" borderId="56" xfId="0" applyNumberFormat="1" applyFont="1" applyBorder="1" applyAlignment="1">
      <alignment horizontal="center"/>
    </xf>
    <xf numFmtId="185" fontId="11" fillId="0" borderId="57" xfId="0" applyNumberFormat="1" applyFont="1" applyBorder="1" applyAlignment="1">
      <alignment horizontal="center"/>
    </xf>
    <xf numFmtId="185" fontId="11" fillId="0" borderId="58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6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6" fillId="0" borderId="46" xfId="0" applyFont="1" applyBorder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52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січень!$O$4:$O$24</c:f>
              <c:numCache/>
            </c:numRef>
          </c:val>
          <c:smooth val="1"/>
        </c:ser>
        <c:marker val="1"/>
        <c:axId val="18761356"/>
        <c:axId val="34634477"/>
      </c:lineChart>
      <c:catAx>
        <c:axId val="1876135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634477"/>
        <c:crosses val="autoZero"/>
        <c:auto val="0"/>
        <c:lblOffset val="100"/>
        <c:tickLblSkip val="1"/>
        <c:noMultiLvlLbl val="0"/>
      </c:catAx>
      <c:valAx>
        <c:axId val="34634477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8761356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46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43274838"/>
        <c:axId val="53929223"/>
      </c:lineChart>
      <c:catAx>
        <c:axId val="4327483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929223"/>
        <c:crosses val="autoZero"/>
        <c:auto val="0"/>
        <c:lblOffset val="100"/>
        <c:tickLblSkip val="1"/>
        <c:noMultiLvlLbl val="0"/>
      </c:catAx>
      <c:valAx>
        <c:axId val="53929223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3274838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46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4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13.02.2019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січень-лютий2019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15600960"/>
        <c:axId val="6190913"/>
      </c:bar3DChart>
      <c:catAx>
        <c:axId val="15600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90913"/>
        <c:crosses val="autoZero"/>
        <c:auto val="1"/>
        <c:lblOffset val="100"/>
        <c:tickLblSkip val="1"/>
        <c:noMultiLvlLbl val="0"/>
      </c:catAx>
      <c:valAx>
        <c:axId val="6190913"/>
        <c:scaling>
          <c:orientation val="minMax"/>
          <c:max val="2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600960"/>
        <c:crossesAt val="1"/>
        <c:crossBetween val="between"/>
        <c:dispUnits/>
        <c:majorUnit val="2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225"/>
          <c:y val="0.4095"/>
          <c:w val="0.07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січень-лютий 2019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55718218"/>
        <c:axId val="31701915"/>
      </c:bar3DChart>
      <c:catAx>
        <c:axId val="55718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1701915"/>
        <c:crosses val="autoZero"/>
        <c:auto val="1"/>
        <c:lblOffset val="100"/>
        <c:tickLblSkip val="1"/>
        <c:noMultiLvlLbl val="0"/>
      </c:catAx>
      <c:valAx>
        <c:axId val="31701915"/>
        <c:scaling>
          <c:orientation val="minMax"/>
          <c:max val="2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718218"/>
        <c:crossesAt val="1"/>
        <c:crossBetween val="between"/>
        <c:dispUnits/>
        <c:majorUnit val="200"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План на січень- лютий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2019р.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13.02.2019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299 706,6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195 7441,1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 лютий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2019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- 103 965,4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                План на  лютий 2019р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157 987,9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лютий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2019р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- 103 965,5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частка бюдж в ПДФО"/>
      <sheetName val="Лист5"/>
      <sheetName val="Азот и обленерго"/>
      <sheetName val="Лист3"/>
      <sheetName val="22012500"/>
      <sheetName val="210811-3"/>
      <sheetName val="180000"/>
      <sheetName val="210811 для заход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22-сф"/>
      <sheetName val="%% СФ. 903"/>
      <sheetName val="8882-сф"/>
      <sheetName val="220804. 871"/>
      <sheetName val="депозит"/>
      <sheetName val="надх"/>
      <sheetName val="залишки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кредити"/>
      <sheetName val="повер ПДФО та трансп"/>
      <sheetName val="110202. 861"/>
      <sheetName val="2111 з 2003р"/>
      <sheetName val="Лист2"/>
      <sheetName val="Лист4"/>
      <sheetName val="Лист1"/>
      <sheetName val="Лист8"/>
      <sheetName val="210103. 871"/>
      <sheetName val="2105. 534"/>
      <sheetName val="210815. 561"/>
      <sheetName val="240622. 611"/>
      <sheetName val="5011"/>
      <sheetName val="240619"/>
    </sheetNames>
    <sheetDataSet>
      <sheetData sheetId="24">
        <row r="6">
          <cell r="G6">
            <v>0</v>
          </cell>
          <cell r="K6">
            <v>15164716.009999998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ютий 19"/>
      <sheetName val="січень 19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7" sqref="J1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09" t="s">
        <v>66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/>
      <c r="Q1" s="1"/>
      <c r="R1" s="112" t="s">
        <v>67</v>
      </c>
      <c r="S1" s="113"/>
      <c r="T1" s="113"/>
      <c r="U1" s="113"/>
      <c r="V1" s="113"/>
      <c r="W1" s="114"/>
    </row>
    <row r="2" spans="1:23" ht="15" thickBot="1">
      <c r="A2" s="115" t="s">
        <v>71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7"/>
      <c r="Q2" s="1"/>
      <c r="R2" s="118" t="s">
        <v>70</v>
      </c>
      <c r="S2" s="119"/>
      <c r="T2" s="119"/>
      <c r="U2" s="119"/>
      <c r="V2" s="119"/>
      <c r="W2" s="12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48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1" t="s">
        <v>47</v>
      </c>
      <c r="V3" s="122"/>
      <c r="W3" s="93" t="s">
        <v>27</v>
      </c>
    </row>
    <row r="4" spans="1:23" ht="12.75">
      <c r="A4" s="10">
        <v>43467</v>
      </c>
      <c r="B4" s="65"/>
      <c r="C4" s="79"/>
      <c r="D4" s="106"/>
      <c r="E4" s="106">
        <f>C4-D4</f>
        <v>0</v>
      </c>
      <c r="F4" s="65"/>
      <c r="G4" s="65"/>
      <c r="H4" s="67"/>
      <c r="I4" s="78"/>
      <c r="J4" s="78"/>
      <c r="K4" s="78"/>
      <c r="L4" s="65"/>
      <c r="M4" s="65">
        <f aca="true" t="shared" si="0" ref="M4:M24">N4-B4-C4-F4-G4-H4-I4-J4-K4-L4</f>
        <v>0</v>
      </c>
      <c r="N4" s="65">
        <v>0</v>
      </c>
      <c r="O4" s="65">
        <v>0</v>
      </c>
      <c r="P4" s="3" t="e">
        <f aca="true" t="shared" si="1" ref="P4:P24">N4/O4</f>
        <v>#DIV/0!</v>
      </c>
      <c r="Q4" s="2">
        <f>AVERAGE(N4:N24)</f>
        <v>6748.5076190476175</v>
      </c>
      <c r="R4" s="94">
        <v>0</v>
      </c>
      <c r="S4" s="95">
        <v>0</v>
      </c>
      <c r="T4" s="96">
        <v>0</v>
      </c>
      <c r="U4" s="123">
        <v>0</v>
      </c>
      <c r="V4" s="124"/>
      <c r="W4" s="97">
        <f>R4+S4+U4+T4+V4</f>
        <v>0</v>
      </c>
    </row>
    <row r="5" spans="1:23" ht="12.75">
      <c r="A5" s="10">
        <v>43468</v>
      </c>
      <c r="B5" s="65">
        <f>2658.5+26.4+89.16</f>
        <v>2774.06</v>
      </c>
      <c r="C5" s="79">
        <v>139.9</v>
      </c>
      <c r="D5" s="106">
        <v>139.9</v>
      </c>
      <c r="E5" s="106">
        <f aca="true" t="shared" si="2" ref="E5:E24">C5-D5</f>
        <v>0</v>
      </c>
      <c r="F5" s="65">
        <f>2.5+1.8+1.1+82.8</f>
        <v>88.2</v>
      </c>
      <c r="G5" s="65">
        <f>27.15+344.14+1.7+22.2</f>
        <v>395.18999999999994</v>
      </c>
      <c r="H5" s="79">
        <f>175.64+1211.93</f>
        <v>1387.5700000000002</v>
      </c>
      <c r="I5" s="78">
        <f>29.8+28.2</f>
        <v>58</v>
      </c>
      <c r="J5" s="78">
        <v>11.3</v>
      </c>
      <c r="K5" s="78">
        <v>0</v>
      </c>
      <c r="L5" s="65">
        <v>0</v>
      </c>
      <c r="M5" s="65">
        <f t="shared" si="0"/>
        <v>28.279999999999927</v>
      </c>
      <c r="N5" s="65">
        <v>4882.5</v>
      </c>
      <c r="O5" s="65">
        <v>4800</v>
      </c>
      <c r="P5" s="3">
        <f t="shared" si="1"/>
        <v>1.0171875</v>
      </c>
      <c r="Q5" s="2">
        <v>6748.5</v>
      </c>
      <c r="R5" s="69">
        <v>11.1</v>
      </c>
      <c r="S5" s="65">
        <v>0</v>
      </c>
      <c r="T5" s="70">
        <v>21.56</v>
      </c>
      <c r="U5" s="125">
        <v>0</v>
      </c>
      <c r="V5" s="126"/>
      <c r="W5" s="68">
        <f aca="true" t="shared" si="3" ref="W5:W24">R5+S5+U5+T5+V5</f>
        <v>32.66</v>
      </c>
    </row>
    <row r="6" spans="1:23" ht="12.75">
      <c r="A6" s="10">
        <v>43469</v>
      </c>
      <c r="B6" s="65">
        <f>13526.98+53.31+93.64+0.35</f>
        <v>13674.279999999999</v>
      </c>
      <c r="C6" s="79">
        <v>11.95</v>
      </c>
      <c r="D6" s="106">
        <v>11.95</v>
      </c>
      <c r="E6" s="106">
        <f t="shared" si="2"/>
        <v>0</v>
      </c>
      <c r="F6" s="72">
        <f>-1.1+32.4+0.09</f>
        <v>31.389999999999997</v>
      </c>
      <c r="G6" s="65">
        <f>6.9+103.35+0.55+19.77</f>
        <v>130.57</v>
      </c>
      <c r="H6" s="80">
        <f>220.08+975</f>
        <v>1195.08</v>
      </c>
      <c r="I6" s="78">
        <f>85.4+5.1</f>
        <v>90.5</v>
      </c>
      <c r="J6" s="78">
        <v>79.25</v>
      </c>
      <c r="K6" s="78">
        <v>0</v>
      </c>
      <c r="L6" s="78">
        <v>0</v>
      </c>
      <c r="M6" s="65">
        <f t="shared" si="0"/>
        <v>12.180000000001883</v>
      </c>
      <c r="N6" s="65">
        <v>15225.2</v>
      </c>
      <c r="O6" s="65">
        <v>15300</v>
      </c>
      <c r="P6" s="3">
        <f t="shared" si="1"/>
        <v>0.9951111111111112</v>
      </c>
      <c r="Q6" s="2">
        <v>6748.5</v>
      </c>
      <c r="R6" s="71">
        <v>0</v>
      </c>
      <c r="S6" s="72">
        <v>0</v>
      </c>
      <c r="T6" s="73">
        <v>0</v>
      </c>
      <c r="U6" s="127">
        <v>0</v>
      </c>
      <c r="V6" s="128"/>
      <c r="W6" s="68">
        <f t="shared" si="3"/>
        <v>0</v>
      </c>
    </row>
    <row r="7" spans="1:23" ht="12.75">
      <c r="A7" s="10">
        <v>43473</v>
      </c>
      <c r="B7" s="77">
        <f>1828.09+93.98+22.1</f>
        <v>1944.1699999999998</v>
      </c>
      <c r="C7" s="79">
        <v>14.1</v>
      </c>
      <c r="D7" s="106">
        <v>14.1</v>
      </c>
      <c r="E7" s="106">
        <f t="shared" si="2"/>
        <v>0</v>
      </c>
      <c r="F7" s="65">
        <f>6.8+19.6+5.4</f>
        <v>31.800000000000004</v>
      </c>
      <c r="G7" s="65">
        <f>4.2+83.4+1.9+37.4</f>
        <v>126.9</v>
      </c>
      <c r="H7" s="79">
        <f>455.6+3021.4</f>
        <v>3477</v>
      </c>
      <c r="I7" s="78">
        <f>41.8+62.5</f>
        <v>104.3</v>
      </c>
      <c r="J7" s="78">
        <v>6.8</v>
      </c>
      <c r="K7" s="78">
        <v>0</v>
      </c>
      <c r="L7" s="78">
        <v>0</v>
      </c>
      <c r="M7" s="65">
        <f t="shared" si="0"/>
        <v>11.429999999999747</v>
      </c>
      <c r="N7" s="65">
        <v>5716.5</v>
      </c>
      <c r="O7" s="65">
        <v>5600</v>
      </c>
      <c r="P7" s="3">
        <f t="shared" si="1"/>
        <v>1.0208035714285715</v>
      </c>
      <c r="Q7" s="2">
        <v>6748.5</v>
      </c>
      <c r="R7" s="71">
        <v>0</v>
      </c>
      <c r="S7" s="72">
        <v>0</v>
      </c>
      <c r="T7" s="73">
        <v>3.86</v>
      </c>
      <c r="U7" s="127">
        <v>1</v>
      </c>
      <c r="V7" s="128"/>
      <c r="W7" s="68">
        <f t="shared" si="3"/>
        <v>4.859999999999999</v>
      </c>
    </row>
    <row r="8" spans="1:23" ht="12.75">
      <c r="A8" s="10">
        <v>43474</v>
      </c>
      <c r="B8" s="65">
        <f>4155.28+33.54+30.76+251.15</f>
        <v>4470.73</v>
      </c>
      <c r="C8" s="70">
        <v>19.3</v>
      </c>
      <c r="D8" s="106">
        <v>19.3</v>
      </c>
      <c r="E8" s="106">
        <f t="shared" si="2"/>
        <v>0</v>
      </c>
      <c r="F8" s="78">
        <f>4.17+9.04+25.21</f>
        <v>38.42</v>
      </c>
      <c r="G8" s="78">
        <f>15.8+73.76+0.69+21.6</f>
        <v>111.85</v>
      </c>
      <c r="H8" s="65">
        <f>167.01+1669.1</f>
        <v>1836.11</v>
      </c>
      <c r="I8" s="78">
        <f>62.75+26.11</f>
        <v>88.86</v>
      </c>
      <c r="J8" s="78">
        <v>103.5</v>
      </c>
      <c r="K8" s="78">
        <v>665.29</v>
      </c>
      <c r="L8" s="78">
        <v>0</v>
      </c>
      <c r="M8" s="65">
        <f t="shared" si="0"/>
        <v>33.440000000000396</v>
      </c>
      <c r="N8" s="65">
        <v>7367.5</v>
      </c>
      <c r="O8" s="65">
        <v>7200</v>
      </c>
      <c r="P8" s="3">
        <f t="shared" si="1"/>
        <v>1.023263888888889</v>
      </c>
      <c r="Q8" s="2">
        <v>6748.5</v>
      </c>
      <c r="R8" s="71">
        <v>0</v>
      </c>
      <c r="S8" s="72">
        <v>0</v>
      </c>
      <c r="T8" s="70">
        <v>276.6</v>
      </c>
      <c r="U8" s="125">
        <v>0</v>
      </c>
      <c r="V8" s="126"/>
      <c r="W8" s="68">
        <f t="shared" si="3"/>
        <v>276.6</v>
      </c>
    </row>
    <row r="9" spans="1:23" ht="12.75">
      <c r="A9" s="10">
        <v>43475</v>
      </c>
      <c r="B9" s="65">
        <f>848.93+74+24.17+395.89</f>
        <v>1342.9899999999998</v>
      </c>
      <c r="C9" s="70">
        <v>18.15</v>
      </c>
      <c r="D9" s="106">
        <v>18.15</v>
      </c>
      <c r="E9" s="106">
        <f t="shared" si="2"/>
        <v>0</v>
      </c>
      <c r="F9" s="78">
        <f>0.35+88.57+0.96</f>
        <v>89.87999999999998</v>
      </c>
      <c r="G9" s="82">
        <f>10.63+149.42+1.46+109.99</f>
        <v>271.5</v>
      </c>
      <c r="H9" s="65">
        <f>295.08+1201.83</f>
        <v>1496.9099999999999</v>
      </c>
      <c r="I9" s="78">
        <f>24.61+46.44</f>
        <v>71.05</v>
      </c>
      <c r="J9" s="78">
        <v>44.7</v>
      </c>
      <c r="K9" s="78">
        <v>0</v>
      </c>
      <c r="L9" s="78">
        <v>0</v>
      </c>
      <c r="M9" s="65">
        <f t="shared" si="0"/>
        <v>9.820000000000391</v>
      </c>
      <c r="N9" s="65">
        <v>3345</v>
      </c>
      <c r="O9" s="65">
        <v>4800</v>
      </c>
      <c r="P9" s="3">
        <f t="shared" si="1"/>
        <v>0.696875</v>
      </c>
      <c r="Q9" s="2">
        <v>6748.5</v>
      </c>
      <c r="R9" s="71">
        <v>0</v>
      </c>
      <c r="S9" s="72">
        <v>0</v>
      </c>
      <c r="T9" s="70">
        <v>0</v>
      </c>
      <c r="U9" s="125">
        <v>0</v>
      </c>
      <c r="V9" s="126"/>
      <c r="W9" s="68">
        <f t="shared" si="3"/>
        <v>0</v>
      </c>
    </row>
    <row r="10" spans="1:23" ht="12.75">
      <c r="A10" s="10">
        <v>43476</v>
      </c>
      <c r="B10" s="65">
        <f>0.75+771.97+69.63+57.94+133.69</f>
        <v>1033.98</v>
      </c>
      <c r="C10" s="70">
        <v>37.058</v>
      </c>
      <c r="D10" s="106">
        <v>37.057</v>
      </c>
      <c r="E10" s="106">
        <f t="shared" si="2"/>
        <v>0.0009999999999976694</v>
      </c>
      <c r="F10" s="78">
        <f>0.41+77.85+2.13</f>
        <v>80.38999999999999</v>
      </c>
      <c r="G10" s="78">
        <f>13.85+73.7+8+18.77</f>
        <v>114.32</v>
      </c>
      <c r="H10" s="65">
        <f>115.09+1219.95</f>
        <v>1335.04</v>
      </c>
      <c r="I10" s="78">
        <f>55.46+31.24</f>
        <v>86.7</v>
      </c>
      <c r="J10" s="78">
        <v>35.99</v>
      </c>
      <c r="K10" s="78">
        <v>0</v>
      </c>
      <c r="L10" s="78">
        <v>0</v>
      </c>
      <c r="M10" s="65">
        <f t="shared" si="0"/>
        <v>46.72200000000003</v>
      </c>
      <c r="N10" s="65">
        <v>2770.2</v>
      </c>
      <c r="O10" s="72">
        <v>3200</v>
      </c>
      <c r="P10" s="3">
        <f t="shared" si="1"/>
        <v>0.8656874999999999</v>
      </c>
      <c r="Q10" s="2">
        <v>6748.5</v>
      </c>
      <c r="R10" s="71">
        <v>0</v>
      </c>
      <c r="S10" s="72">
        <v>0</v>
      </c>
      <c r="T10" s="70">
        <v>5.49</v>
      </c>
      <c r="U10" s="125">
        <v>0</v>
      </c>
      <c r="V10" s="126"/>
      <c r="W10" s="68">
        <f>R10+S10+U10+T10+V10</f>
        <v>5.49</v>
      </c>
    </row>
    <row r="11" spans="1:23" ht="12.75">
      <c r="A11" s="10">
        <v>43479</v>
      </c>
      <c r="B11" s="65">
        <f>1571.44+5.87+382.8</f>
        <v>1960.11</v>
      </c>
      <c r="C11" s="70">
        <v>207.2</v>
      </c>
      <c r="D11" s="106">
        <v>207.2</v>
      </c>
      <c r="E11" s="106">
        <f t="shared" si="2"/>
        <v>0</v>
      </c>
      <c r="F11" s="78">
        <f>8.05+60.23+0.03</f>
        <v>68.31</v>
      </c>
      <c r="G11" s="78">
        <f>23.65+140.45+2.5+60.68</f>
        <v>227.28</v>
      </c>
      <c r="H11" s="65">
        <f>387.94+1411.87</f>
        <v>1799.81</v>
      </c>
      <c r="I11" s="78">
        <f>46.32+7.19</f>
        <v>53.51</v>
      </c>
      <c r="J11" s="78">
        <v>12.83</v>
      </c>
      <c r="K11" s="78">
        <v>0</v>
      </c>
      <c r="L11" s="78">
        <v>0</v>
      </c>
      <c r="M11" s="65">
        <f t="shared" si="0"/>
        <v>38.25000000000083</v>
      </c>
      <c r="N11" s="65">
        <v>4367.3</v>
      </c>
      <c r="O11" s="65">
        <v>4900</v>
      </c>
      <c r="P11" s="3">
        <f t="shared" si="1"/>
        <v>0.8912857142857143</v>
      </c>
      <c r="Q11" s="2">
        <v>6748.5</v>
      </c>
      <c r="R11" s="69">
        <v>0</v>
      </c>
      <c r="S11" s="65">
        <v>0</v>
      </c>
      <c r="T11" s="70">
        <v>3</v>
      </c>
      <c r="U11" s="125">
        <v>0</v>
      </c>
      <c r="V11" s="126"/>
      <c r="W11" s="68">
        <f t="shared" si="3"/>
        <v>3</v>
      </c>
    </row>
    <row r="12" spans="1:23" ht="12.75">
      <c r="A12" s="10">
        <v>43480</v>
      </c>
      <c r="B12" s="77">
        <f>4425.84+28.19+29.01+30</f>
        <v>4513.04</v>
      </c>
      <c r="C12" s="70">
        <v>30.34</v>
      </c>
      <c r="D12" s="106">
        <v>30.34</v>
      </c>
      <c r="E12" s="106">
        <f t="shared" si="2"/>
        <v>0</v>
      </c>
      <c r="F12" s="78">
        <f>198.21+0.59+0.47</f>
        <v>199.27</v>
      </c>
      <c r="G12" s="78">
        <f>18.08+83.91+2.29+89.32</f>
        <v>193.6</v>
      </c>
      <c r="H12" s="65">
        <f>272.98+1773.72</f>
        <v>2046.7</v>
      </c>
      <c r="I12" s="78">
        <f>65.02+76.13</f>
        <v>141.14999999999998</v>
      </c>
      <c r="J12" s="78">
        <v>6.69</v>
      </c>
      <c r="K12" s="78">
        <v>0</v>
      </c>
      <c r="L12" s="78">
        <v>0</v>
      </c>
      <c r="M12" s="65">
        <f t="shared" si="0"/>
        <v>10.350000000000303</v>
      </c>
      <c r="N12" s="65">
        <v>7141.14</v>
      </c>
      <c r="O12" s="65">
        <v>10500</v>
      </c>
      <c r="P12" s="3">
        <f t="shared" si="1"/>
        <v>0.6801085714285715</v>
      </c>
      <c r="Q12" s="2">
        <v>6748.5</v>
      </c>
      <c r="R12" s="69">
        <v>0</v>
      </c>
      <c r="S12" s="65">
        <v>0</v>
      </c>
      <c r="T12" s="70">
        <v>0</v>
      </c>
      <c r="U12" s="125">
        <v>0</v>
      </c>
      <c r="V12" s="126"/>
      <c r="W12" s="68">
        <f t="shared" si="3"/>
        <v>0</v>
      </c>
    </row>
    <row r="13" spans="1:23" ht="12.75">
      <c r="A13" s="10">
        <v>43481</v>
      </c>
      <c r="B13" s="65">
        <f>3400.41+31.29+64.12+830.83</f>
        <v>4326.65</v>
      </c>
      <c r="C13" s="70">
        <v>34.74</v>
      </c>
      <c r="D13" s="106">
        <v>34.74</v>
      </c>
      <c r="E13" s="106">
        <f t="shared" si="2"/>
        <v>0</v>
      </c>
      <c r="F13" s="78">
        <f>277.35+0.13+0.85</f>
        <v>278.33000000000004</v>
      </c>
      <c r="G13" s="78">
        <f>123.15+196.87+3.54+79.86</f>
        <v>403.42</v>
      </c>
      <c r="H13" s="65">
        <f>237.94+1900.22</f>
        <v>2138.16</v>
      </c>
      <c r="I13" s="78">
        <v>4.1</v>
      </c>
      <c r="J13" s="78">
        <v>41.9</v>
      </c>
      <c r="K13" s="78">
        <v>0</v>
      </c>
      <c r="L13" s="78">
        <v>0</v>
      </c>
      <c r="M13" s="65">
        <f t="shared" si="0"/>
        <v>34.200000000000735</v>
      </c>
      <c r="N13" s="65">
        <v>7261.5</v>
      </c>
      <c r="O13" s="65">
        <v>4000</v>
      </c>
      <c r="P13" s="3">
        <f t="shared" si="1"/>
        <v>1.815375</v>
      </c>
      <c r="Q13" s="2">
        <v>6748.5</v>
      </c>
      <c r="R13" s="69">
        <v>0</v>
      </c>
      <c r="S13" s="65">
        <v>0</v>
      </c>
      <c r="T13" s="70">
        <v>0</v>
      </c>
      <c r="U13" s="125">
        <v>0</v>
      </c>
      <c r="V13" s="126"/>
      <c r="W13" s="68">
        <v>0</v>
      </c>
    </row>
    <row r="14" spans="1:23" ht="12.75">
      <c r="A14" s="10">
        <v>43482</v>
      </c>
      <c r="B14" s="65">
        <f>1509.36+26.49+23.93+526.46</f>
        <v>2086.24</v>
      </c>
      <c r="C14" s="70">
        <v>25.9</v>
      </c>
      <c r="D14" s="106">
        <v>25.9</v>
      </c>
      <c r="E14" s="106">
        <f t="shared" si="2"/>
        <v>0</v>
      </c>
      <c r="F14" s="78">
        <f>0.58+174.53+2.79+0.49</f>
        <v>178.39000000000001</v>
      </c>
      <c r="G14" s="78">
        <f>33.55+255.53+6.3+65</f>
        <v>360.38</v>
      </c>
      <c r="H14" s="65">
        <f>137.88+1616.86</f>
        <v>1754.7399999999998</v>
      </c>
      <c r="I14" s="78">
        <f>22.57+15.5</f>
        <v>38.07</v>
      </c>
      <c r="J14" s="78">
        <v>10.26</v>
      </c>
      <c r="K14" s="78">
        <v>0</v>
      </c>
      <c r="L14" s="78">
        <v>0</v>
      </c>
      <c r="M14" s="65">
        <f t="shared" si="0"/>
        <v>60.760000000000154</v>
      </c>
      <c r="N14" s="65">
        <v>4514.74</v>
      </c>
      <c r="O14" s="65">
        <v>3800</v>
      </c>
      <c r="P14" s="3">
        <f t="shared" si="1"/>
        <v>1.1880894736842105</v>
      </c>
      <c r="Q14" s="2">
        <v>6748.5</v>
      </c>
      <c r="R14" s="69">
        <v>0</v>
      </c>
      <c r="S14" s="65">
        <v>0</v>
      </c>
      <c r="T14" s="74">
        <v>152.4</v>
      </c>
      <c r="U14" s="125">
        <v>0</v>
      </c>
      <c r="V14" s="126"/>
      <c r="W14" s="68">
        <f t="shared" si="3"/>
        <v>152.4</v>
      </c>
    </row>
    <row r="15" spans="1:23" ht="12.75">
      <c r="A15" s="10">
        <v>43483</v>
      </c>
      <c r="B15" s="65">
        <v>6753.4</v>
      </c>
      <c r="C15" s="66">
        <v>43.6</v>
      </c>
      <c r="D15" s="106">
        <v>43.6</v>
      </c>
      <c r="E15" s="106">
        <f t="shared" si="2"/>
        <v>0</v>
      </c>
      <c r="F15" s="81">
        <v>204.9</v>
      </c>
      <c r="G15" s="81">
        <v>495.4</v>
      </c>
      <c r="H15" s="82">
        <v>2440.85</v>
      </c>
      <c r="I15" s="81">
        <v>69.1</v>
      </c>
      <c r="J15" s="81">
        <v>27.15</v>
      </c>
      <c r="K15" s="81">
        <v>0</v>
      </c>
      <c r="L15" s="81">
        <v>0</v>
      </c>
      <c r="M15" s="65">
        <f t="shared" si="0"/>
        <v>19.500000000000007</v>
      </c>
      <c r="N15" s="65">
        <v>10053.9</v>
      </c>
      <c r="O15" s="72">
        <v>7500</v>
      </c>
      <c r="P15" s="3">
        <f>N15/O15</f>
        <v>1.34052</v>
      </c>
      <c r="Q15" s="2">
        <v>6748.5</v>
      </c>
      <c r="R15" s="69">
        <v>0</v>
      </c>
      <c r="S15" s="65">
        <v>0</v>
      </c>
      <c r="T15" s="74">
        <v>0</v>
      </c>
      <c r="U15" s="125">
        <v>0</v>
      </c>
      <c r="V15" s="126"/>
      <c r="W15" s="68">
        <f t="shared" si="3"/>
        <v>0</v>
      </c>
    </row>
    <row r="16" spans="1:23" ht="12.75">
      <c r="A16" s="10">
        <v>43486</v>
      </c>
      <c r="B16" s="65">
        <v>4641.7</v>
      </c>
      <c r="C16" s="70">
        <v>187.6</v>
      </c>
      <c r="D16" s="106">
        <v>187.6</v>
      </c>
      <c r="E16" s="106">
        <f t="shared" si="2"/>
        <v>0</v>
      </c>
      <c r="F16" s="78">
        <v>447.5</v>
      </c>
      <c r="G16" s="78">
        <v>489</v>
      </c>
      <c r="H16" s="65">
        <v>1704.2</v>
      </c>
      <c r="I16" s="78">
        <v>110.9</v>
      </c>
      <c r="J16" s="78">
        <v>20</v>
      </c>
      <c r="K16" s="78">
        <v>0</v>
      </c>
      <c r="L16" s="78">
        <v>0</v>
      </c>
      <c r="M16" s="65">
        <f t="shared" si="0"/>
        <v>-57.06999999999985</v>
      </c>
      <c r="N16" s="65">
        <v>7543.83</v>
      </c>
      <c r="O16" s="72">
        <v>5490</v>
      </c>
      <c r="P16" s="3">
        <f t="shared" si="1"/>
        <v>1.374103825136612</v>
      </c>
      <c r="Q16" s="2">
        <v>6748.5</v>
      </c>
      <c r="R16" s="69">
        <v>0</v>
      </c>
      <c r="S16" s="65">
        <v>0</v>
      </c>
      <c r="T16" s="74">
        <v>0</v>
      </c>
      <c r="U16" s="125">
        <v>0</v>
      </c>
      <c r="V16" s="126"/>
      <c r="W16" s="68">
        <f t="shared" si="3"/>
        <v>0</v>
      </c>
    </row>
    <row r="17" spans="1:23" ht="12.75">
      <c r="A17" s="10">
        <v>43487</v>
      </c>
      <c r="B17" s="65">
        <v>4528.9</v>
      </c>
      <c r="C17" s="70">
        <v>111.6</v>
      </c>
      <c r="D17" s="106">
        <v>111.6</v>
      </c>
      <c r="E17" s="106">
        <f t="shared" si="2"/>
        <v>0</v>
      </c>
      <c r="F17" s="78">
        <v>362.3</v>
      </c>
      <c r="G17" s="78">
        <v>568.8</v>
      </c>
      <c r="H17" s="65">
        <v>1244.3</v>
      </c>
      <c r="I17" s="78">
        <v>60.5</v>
      </c>
      <c r="J17" s="78">
        <v>0.4</v>
      </c>
      <c r="K17" s="78">
        <v>0</v>
      </c>
      <c r="L17" s="78">
        <v>0</v>
      </c>
      <c r="M17" s="65">
        <f t="shared" si="0"/>
        <v>21.90000000000041</v>
      </c>
      <c r="N17" s="65">
        <v>6898.7</v>
      </c>
      <c r="O17" s="65">
        <v>8500</v>
      </c>
      <c r="P17" s="3">
        <f t="shared" si="1"/>
        <v>0.8116117647058824</v>
      </c>
      <c r="Q17" s="2">
        <v>6748.5</v>
      </c>
      <c r="R17" s="69">
        <v>0</v>
      </c>
      <c r="S17" s="65">
        <v>0</v>
      </c>
      <c r="T17" s="74">
        <v>0</v>
      </c>
      <c r="U17" s="125">
        <v>0</v>
      </c>
      <c r="V17" s="126"/>
      <c r="W17" s="68">
        <f t="shared" si="3"/>
        <v>0</v>
      </c>
    </row>
    <row r="18" spans="1:23" ht="12.75">
      <c r="A18" s="10">
        <v>43488</v>
      </c>
      <c r="B18" s="65">
        <v>3475.2</v>
      </c>
      <c r="C18" s="70">
        <v>92</v>
      </c>
      <c r="D18" s="106">
        <v>92</v>
      </c>
      <c r="E18" s="106">
        <f t="shared" si="2"/>
        <v>0</v>
      </c>
      <c r="F18" s="78">
        <v>347.3</v>
      </c>
      <c r="G18" s="78">
        <v>444.75</v>
      </c>
      <c r="H18" s="65">
        <v>825</v>
      </c>
      <c r="I18" s="78">
        <v>79.4</v>
      </c>
      <c r="J18" s="78">
        <v>12.8</v>
      </c>
      <c r="K18" s="78">
        <v>0</v>
      </c>
      <c r="L18" s="78">
        <v>0</v>
      </c>
      <c r="M18" s="65">
        <f>N18-B18-C18-F18-G18-H18-I18-J18-K18-L18</f>
        <v>30.350000000000403</v>
      </c>
      <c r="N18" s="65">
        <v>5306.8</v>
      </c>
      <c r="O18" s="65">
        <v>3700</v>
      </c>
      <c r="P18" s="3">
        <f>N18/O18</f>
        <v>1.4342702702702703</v>
      </c>
      <c r="Q18" s="2">
        <v>6748.5</v>
      </c>
      <c r="R18" s="69">
        <v>14.7</v>
      </c>
      <c r="S18" s="65">
        <v>0</v>
      </c>
      <c r="T18" s="70">
        <v>0</v>
      </c>
      <c r="U18" s="125">
        <v>0</v>
      </c>
      <c r="V18" s="126"/>
      <c r="W18" s="68">
        <f t="shared" si="3"/>
        <v>14.7</v>
      </c>
    </row>
    <row r="19" spans="1:23" ht="12.75">
      <c r="A19" s="10">
        <v>43489</v>
      </c>
      <c r="B19" s="65">
        <v>1727.4</v>
      </c>
      <c r="C19" s="70">
        <v>656.7</v>
      </c>
      <c r="D19" s="106">
        <v>656.7</v>
      </c>
      <c r="E19" s="106">
        <f t="shared" si="2"/>
        <v>0</v>
      </c>
      <c r="F19" s="78">
        <v>611.8</v>
      </c>
      <c r="G19" s="78">
        <v>1473.9</v>
      </c>
      <c r="H19" s="65">
        <v>809.4</v>
      </c>
      <c r="I19" s="78">
        <v>86.4</v>
      </c>
      <c r="J19" s="78">
        <v>4.2</v>
      </c>
      <c r="K19" s="78">
        <v>0</v>
      </c>
      <c r="L19" s="78">
        <v>0</v>
      </c>
      <c r="M19" s="65">
        <f>N19-B19-C19-F19-G19-H19-I19-J19-K19-L19</f>
        <v>16.429999999998945</v>
      </c>
      <c r="N19" s="65">
        <v>5386.23</v>
      </c>
      <c r="O19" s="65">
        <v>4600</v>
      </c>
      <c r="P19" s="3">
        <f t="shared" si="1"/>
        <v>1.1709195652173912</v>
      </c>
      <c r="Q19" s="2">
        <v>6748.5</v>
      </c>
      <c r="R19" s="69">
        <v>0</v>
      </c>
      <c r="S19" s="65">
        <v>0</v>
      </c>
      <c r="T19" s="70">
        <v>0</v>
      </c>
      <c r="U19" s="125">
        <v>0</v>
      </c>
      <c r="V19" s="126"/>
      <c r="W19" s="68">
        <f t="shared" si="3"/>
        <v>0</v>
      </c>
    </row>
    <row r="20" spans="1:23" ht="12.75">
      <c r="A20" s="10">
        <v>43490</v>
      </c>
      <c r="B20" s="65">
        <v>893.5</v>
      </c>
      <c r="C20" s="70">
        <v>1340.1</v>
      </c>
      <c r="D20" s="106">
        <v>1340.1</v>
      </c>
      <c r="E20" s="106">
        <f t="shared" si="2"/>
        <v>0</v>
      </c>
      <c r="F20" s="78">
        <v>592.6</v>
      </c>
      <c r="G20" s="65">
        <v>1434.8</v>
      </c>
      <c r="H20" s="65">
        <v>1516.8</v>
      </c>
      <c r="I20" s="78">
        <v>82.9</v>
      </c>
      <c r="J20" s="78">
        <v>9.2</v>
      </c>
      <c r="K20" s="78">
        <v>0</v>
      </c>
      <c r="L20" s="78">
        <v>0</v>
      </c>
      <c r="M20" s="65">
        <f t="shared" si="0"/>
        <v>24.14000000000023</v>
      </c>
      <c r="N20" s="65">
        <v>5894.04</v>
      </c>
      <c r="O20" s="65">
        <v>5330</v>
      </c>
      <c r="P20" s="3">
        <f t="shared" si="1"/>
        <v>1.1058236397748593</v>
      </c>
      <c r="Q20" s="2">
        <v>6748.5</v>
      </c>
      <c r="R20" s="69">
        <v>11.8</v>
      </c>
      <c r="S20" s="65">
        <v>0</v>
      </c>
      <c r="T20" s="70">
        <v>0</v>
      </c>
      <c r="U20" s="125">
        <v>0</v>
      </c>
      <c r="V20" s="126"/>
      <c r="W20" s="68">
        <f t="shared" si="3"/>
        <v>11.8</v>
      </c>
    </row>
    <row r="21" spans="1:23" ht="12.75">
      <c r="A21" s="10">
        <v>43493</v>
      </c>
      <c r="B21" s="65">
        <v>991</v>
      </c>
      <c r="C21" s="70">
        <v>1405.1</v>
      </c>
      <c r="D21" s="106">
        <v>1405.1</v>
      </c>
      <c r="E21" s="106">
        <f t="shared" si="2"/>
        <v>0</v>
      </c>
      <c r="F21" s="78">
        <v>995.6</v>
      </c>
      <c r="G21" s="65">
        <v>1355.2</v>
      </c>
      <c r="H21" s="65">
        <v>1515.5</v>
      </c>
      <c r="I21" s="78">
        <v>119.9</v>
      </c>
      <c r="J21" s="78">
        <v>56</v>
      </c>
      <c r="K21" s="78">
        <v>0</v>
      </c>
      <c r="L21" s="78">
        <v>0</v>
      </c>
      <c r="M21" s="65">
        <f t="shared" si="0"/>
        <v>41.040000000000276</v>
      </c>
      <c r="N21" s="65">
        <v>6479.34</v>
      </c>
      <c r="O21" s="65">
        <v>5800</v>
      </c>
      <c r="P21" s="3">
        <f t="shared" si="1"/>
        <v>1.1171275862068966</v>
      </c>
      <c r="Q21" s="2">
        <v>6748.5</v>
      </c>
      <c r="R21" s="102">
        <v>0</v>
      </c>
      <c r="S21" s="103">
        <v>0</v>
      </c>
      <c r="T21" s="104">
        <v>0</v>
      </c>
      <c r="U21" s="125">
        <v>0</v>
      </c>
      <c r="V21" s="126"/>
      <c r="W21" s="68">
        <f t="shared" si="3"/>
        <v>0</v>
      </c>
    </row>
    <row r="22" spans="1:23" ht="12.75">
      <c r="A22" s="10">
        <v>43494</v>
      </c>
      <c r="B22" s="65">
        <v>1388.8</v>
      </c>
      <c r="C22" s="70">
        <v>897.9</v>
      </c>
      <c r="D22" s="106">
        <v>897.9</v>
      </c>
      <c r="E22" s="106">
        <f t="shared" si="2"/>
        <v>0</v>
      </c>
      <c r="F22" s="78">
        <v>1425.6</v>
      </c>
      <c r="G22" s="65">
        <v>2173.7</v>
      </c>
      <c r="H22" s="65">
        <v>1119.2</v>
      </c>
      <c r="I22" s="78">
        <v>91.8</v>
      </c>
      <c r="J22" s="78">
        <v>23.6</v>
      </c>
      <c r="K22" s="78">
        <v>0</v>
      </c>
      <c r="L22" s="78">
        <v>0</v>
      </c>
      <c r="M22" s="65">
        <f t="shared" si="0"/>
        <v>24.640000000000192</v>
      </c>
      <c r="N22" s="65">
        <v>7145.24</v>
      </c>
      <c r="O22" s="65">
        <v>9900</v>
      </c>
      <c r="P22" s="3">
        <f t="shared" si="1"/>
        <v>0.7217414141414141</v>
      </c>
      <c r="Q22" s="2">
        <v>6748.5</v>
      </c>
      <c r="R22" s="102">
        <v>0</v>
      </c>
      <c r="S22" s="103">
        <v>0</v>
      </c>
      <c r="T22" s="104">
        <v>0</v>
      </c>
      <c r="U22" s="125">
        <v>0</v>
      </c>
      <c r="V22" s="126"/>
      <c r="W22" s="68">
        <f t="shared" si="3"/>
        <v>0</v>
      </c>
    </row>
    <row r="23" spans="1:23" ht="12.75">
      <c r="A23" s="10">
        <v>43495</v>
      </c>
      <c r="B23" s="65">
        <v>8468.2</v>
      </c>
      <c r="C23" s="70">
        <v>251.9</v>
      </c>
      <c r="D23" s="106">
        <v>251.9</v>
      </c>
      <c r="E23" s="106">
        <f t="shared" si="2"/>
        <v>0</v>
      </c>
      <c r="F23" s="78">
        <v>122</v>
      </c>
      <c r="G23" s="65">
        <v>2535</v>
      </c>
      <c r="H23" s="65">
        <v>1016.8</v>
      </c>
      <c r="I23" s="78">
        <v>23.6</v>
      </c>
      <c r="J23" s="78">
        <v>10.3</v>
      </c>
      <c r="K23" s="78">
        <v>0</v>
      </c>
      <c r="L23" s="78">
        <v>0</v>
      </c>
      <c r="M23" s="65">
        <f t="shared" si="0"/>
        <v>41.59999999999886</v>
      </c>
      <c r="N23" s="65">
        <v>12469.4</v>
      </c>
      <c r="O23" s="65">
        <v>11500</v>
      </c>
      <c r="P23" s="3">
        <f t="shared" si="1"/>
        <v>1.084295652173913</v>
      </c>
      <c r="Q23" s="2">
        <v>6748.5</v>
      </c>
      <c r="R23" s="102">
        <v>0</v>
      </c>
      <c r="S23" s="103">
        <v>0</v>
      </c>
      <c r="T23" s="104">
        <v>0</v>
      </c>
      <c r="U23" s="125">
        <v>0</v>
      </c>
      <c r="V23" s="126"/>
      <c r="W23" s="68">
        <f t="shared" si="3"/>
        <v>0</v>
      </c>
    </row>
    <row r="24" spans="1:23" ht="13.5" thickBot="1">
      <c r="A24" s="10">
        <v>43496</v>
      </c>
      <c r="B24" s="65">
        <v>10039.7</v>
      </c>
      <c r="C24" s="74">
        <v>2.5</v>
      </c>
      <c r="D24" s="106">
        <v>2.5</v>
      </c>
      <c r="E24" s="106">
        <f t="shared" si="2"/>
        <v>0</v>
      </c>
      <c r="F24" s="78">
        <v>321.4</v>
      </c>
      <c r="G24" s="65">
        <v>194.7</v>
      </c>
      <c r="H24" s="65">
        <v>1218.4</v>
      </c>
      <c r="I24" s="78">
        <v>108.3</v>
      </c>
      <c r="J24" s="78">
        <v>47.1</v>
      </c>
      <c r="K24" s="78">
        <v>0</v>
      </c>
      <c r="L24" s="78">
        <v>0</v>
      </c>
      <c r="M24" s="65">
        <f t="shared" si="0"/>
        <v>17.49999999999941</v>
      </c>
      <c r="N24" s="65">
        <v>11949.6</v>
      </c>
      <c r="O24" s="65">
        <v>6500</v>
      </c>
      <c r="P24" s="3">
        <f t="shared" si="1"/>
        <v>1.8384</v>
      </c>
      <c r="Q24" s="2">
        <v>6748.5</v>
      </c>
      <c r="R24" s="98">
        <v>0</v>
      </c>
      <c r="S24" s="99">
        <v>0</v>
      </c>
      <c r="T24" s="100">
        <v>0</v>
      </c>
      <c r="U24" s="137">
        <v>0</v>
      </c>
      <c r="V24" s="138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81034.04999999999</v>
      </c>
      <c r="C25" s="85">
        <f t="shared" si="4"/>
        <v>5527.637999999999</v>
      </c>
      <c r="D25" s="107">
        <f t="shared" si="4"/>
        <v>5527.636999999999</v>
      </c>
      <c r="E25" s="107">
        <f t="shared" si="4"/>
        <v>0.0009999999999976694</v>
      </c>
      <c r="F25" s="85">
        <f t="shared" si="4"/>
        <v>6515.379999999999</v>
      </c>
      <c r="G25" s="85">
        <f t="shared" si="4"/>
        <v>13500.260000000002</v>
      </c>
      <c r="H25" s="85">
        <f t="shared" si="4"/>
        <v>31877.569999999996</v>
      </c>
      <c r="I25" s="85">
        <f t="shared" si="4"/>
        <v>1569.0400000000002</v>
      </c>
      <c r="J25" s="85">
        <f t="shared" si="4"/>
        <v>563.9699999999999</v>
      </c>
      <c r="K25" s="85">
        <f t="shared" si="4"/>
        <v>665.29</v>
      </c>
      <c r="L25" s="85">
        <f t="shared" si="4"/>
        <v>0</v>
      </c>
      <c r="M25" s="84">
        <f t="shared" si="4"/>
        <v>465.4620000000033</v>
      </c>
      <c r="N25" s="84">
        <f t="shared" si="4"/>
        <v>141718.65999999997</v>
      </c>
      <c r="O25" s="84">
        <f t="shared" si="4"/>
        <v>132920</v>
      </c>
      <c r="P25" s="86">
        <f>N25/O25</f>
        <v>1.0661951549804392</v>
      </c>
      <c r="Q25" s="2"/>
      <c r="R25" s="75">
        <f>SUM(R4:R24)</f>
        <v>37.599999999999994</v>
      </c>
      <c r="S25" s="75">
        <f>SUM(S4:S24)</f>
        <v>0</v>
      </c>
      <c r="T25" s="75">
        <f>SUM(T4:T24)</f>
        <v>462.9100000000001</v>
      </c>
      <c r="U25" s="139">
        <f>SUM(U4:U24)</f>
        <v>1</v>
      </c>
      <c r="V25" s="140"/>
      <c r="W25" s="75">
        <f>R25+S25+U25+T25+V25</f>
        <v>501.5100000000001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1" t="s">
        <v>33</v>
      </c>
      <c r="S28" s="141"/>
      <c r="T28" s="141"/>
      <c r="U28" s="141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2" t="s">
        <v>29</v>
      </c>
      <c r="S29" s="142"/>
      <c r="T29" s="142"/>
      <c r="U29" s="142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9">
        <v>43497</v>
      </c>
      <c r="S30" s="143">
        <f>'[2]залишки'!$G$6/1000</f>
        <v>0</v>
      </c>
      <c r="T30" s="143"/>
      <c r="U30" s="143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0"/>
      <c r="S31" s="143"/>
      <c r="T31" s="143"/>
      <c r="U31" s="143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4" t="s">
        <v>45</v>
      </c>
      <c r="T33" s="145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46" t="s">
        <v>40</v>
      </c>
      <c r="T34" s="146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1" t="s">
        <v>30</v>
      </c>
      <c r="S38" s="141"/>
      <c r="T38" s="141"/>
      <c r="U38" s="141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7" t="s">
        <v>31</v>
      </c>
      <c r="S39" s="147"/>
      <c r="T39" s="147"/>
      <c r="U39" s="147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9">
        <v>43497</v>
      </c>
      <c r="S40" s="131">
        <f>'[2]залишки'!$K$6/1000</f>
        <v>15164.716009999998</v>
      </c>
      <c r="T40" s="132"/>
      <c r="U40" s="133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0"/>
      <c r="S41" s="134"/>
      <c r="T41" s="135"/>
      <c r="U41" s="136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U21:V21"/>
    <mergeCell ref="U22:V22"/>
    <mergeCell ref="S33:T33"/>
    <mergeCell ref="S34:T34"/>
    <mergeCell ref="R38:U38"/>
    <mergeCell ref="R39:U39"/>
    <mergeCell ref="U23:V23"/>
    <mergeCell ref="R40:R41"/>
    <mergeCell ref="S40:U41"/>
    <mergeCell ref="U24:V24"/>
    <mergeCell ref="U25:V25"/>
    <mergeCell ref="R28:U28"/>
    <mergeCell ref="R29:U29"/>
    <mergeCell ref="R30:R31"/>
    <mergeCell ref="S30:U31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46"/>
  <sheetViews>
    <sheetView zoomScalePageLayoutView="0" workbookViewId="0" topLeftCell="A1">
      <pane xSplit="1" ySplit="3" topLeftCell="G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09" t="s">
        <v>72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/>
      <c r="Q1" s="1"/>
      <c r="R1" s="112" t="s">
        <v>74</v>
      </c>
      <c r="S1" s="113"/>
      <c r="T1" s="113"/>
      <c r="U1" s="113"/>
      <c r="V1" s="113"/>
      <c r="W1" s="114"/>
    </row>
    <row r="2" spans="1:23" ht="15" thickBot="1">
      <c r="A2" s="115" t="s">
        <v>76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7"/>
      <c r="Q2" s="1"/>
      <c r="R2" s="118" t="s">
        <v>77</v>
      </c>
      <c r="S2" s="119"/>
      <c r="T2" s="119"/>
      <c r="U2" s="119"/>
      <c r="V2" s="119"/>
      <c r="W2" s="12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73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1" t="s">
        <v>47</v>
      </c>
      <c r="V3" s="122"/>
      <c r="W3" s="93" t="s">
        <v>27</v>
      </c>
    </row>
    <row r="4" spans="1:23" ht="12.75">
      <c r="A4" s="108">
        <v>43497</v>
      </c>
      <c r="B4" s="65">
        <v>1497.6</v>
      </c>
      <c r="C4" s="79">
        <v>12</v>
      </c>
      <c r="D4" s="106">
        <v>12</v>
      </c>
      <c r="E4" s="106">
        <f>C4-D4</f>
        <v>0</v>
      </c>
      <c r="F4" s="65">
        <v>29.8</v>
      </c>
      <c r="G4" s="65">
        <v>176.5</v>
      </c>
      <c r="H4" s="67">
        <v>1764.8</v>
      </c>
      <c r="I4" s="78">
        <v>45.5</v>
      </c>
      <c r="J4" s="78">
        <v>6.5</v>
      </c>
      <c r="K4" s="78">
        <v>0</v>
      </c>
      <c r="L4" s="65">
        <v>669.9</v>
      </c>
      <c r="M4" s="65">
        <f aca="true" t="shared" si="0" ref="M4:M23">N4-B4-C4-F4-G4-H4-I4-J4-K4-L4</f>
        <v>35.29999999999961</v>
      </c>
      <c r="N4" s="65">
        <v>4237.9</v>
      </c>
      <c r="O4" s="65">
        <v>4000</v>
      </c>
      <c r="P4" s="3">
        <f aca="true" t="shared" si="1" ref="P4:P23">N4/O4</f>
        <v>1.059475</v>
      </c>
      <c r="Q4" s="2">
        <f>AVERAGE(N4:N23)</f>
        <v>6752.8125</v>
      </c>
      <c r="R4" s="94">
        <v>0</v>
      </c>
      <c r="S4" s="95">
        <v>0</v>
      </c>
      <c r="T4" s="96">
        <v>0</v>
      </c>
      <c r="U4" s="123">
        <v>0</v>
      </c>
      <c r="V4" s="124"/>
      <c r="W4" s="97">
        <f>R4+S4+U4+T4+V4</f>
        <v>0</v>
      </c>
    </row>
    <row r="5" spans="1:23" ht="12.75">
      <c r="A5" s="10">
        <v>43500</v>
      </c>
      <c r="B5" s="65">
        <v>2507.6</v>
      </c>
      <c r="C5" s="79">
        <v>3.9</v>
      </c>
      <c r="D5" s="106">
        <v>3.9</v>
      </c>
      <c r="E5" s="106">
        <f aca="true" t="shared" si="2" ref="E5:E23">C5-D5</f>
        <v>0</v>
      </c>
      <c r="F5" s="65">
        <v>-196.8</v>
      </c>
      <c r="G5" s="65">
        <v>118.2</v>
      </c>
      <c r="H5" s="79">
        <v>1879.1</v>
      </c>
      <c r="I5" s="78">
        <v>70.9</v>
      </c>
      <c r="J5" s="78">
        <v>9.2</v>
      </c>
      <c r="K5" s="78">
        <v>0</v>
      </c>
      <c r="L5" s="65">
        <v>0</v>
      </c>
      <c r="M5" s="65">
        <f t="shared" si="0"/>
        <v>20.400000000000222</v>
      </c>
      <c r="N5" s="65">
        <v>4412.5</v>
      </c>
      <c r="O5" s="65">
        <v>4500</v>
      </c>
      <c r="P5" s="3">
        <f t="shared" si="1"/>
        <v>0.9805555555555555</v>
      </c>
      <c r="Q5" s="2">
        <v>6752.8</v>
      </c>
      <c r="R5" s="69">
        <v>0</v>
      </c>
      <c r="S5" s="65">
        <v>0</v>
      </c>
      <c r="T5" s="70">
        <v>0</v>
      </c>
      <c r="U5" s="125">
        <v>0</v>
      </c>
      <c r="V5" s="126"/>
      <c r="W5" s="68">
        <f aca="true" t="shared" si="3" ref="W5:W23">R5+S5+U5+T5+V5</f>
        <v>0</v>
      </c>
    </row>
    <row r="6" spans="1:23" ht="12.75">
      <c r="A6" s="10">
        <v>43501</v>
      </c>
      <c r="B6" s="65">
        <v>4006.82</v>
      </c>
      <c r="C6" s="79">
        <v>16.94</v>
      </c>
      <c r="D6" s="106">
        <v>16.94</v>
      </c>
      <c r="E6" s="106">
        <f t="shared" si="2"/>
        <v>0</v>
      </c>
      <c r="F6" s="72">
        <v>38.9</v>
      </c>
      <c r="G6" s="65">
        <v>177.1</v>
      </c>
      <c r="H6" s="80">
        <v>2286.4</v>
      </c>
      <c r="I6" s="78">
        <v>4.4</v>
      </c>
      <c r="J6" s="78">
        <v>61.3</v>
      </c>
      <c r="K6" s="78">
        <v>624.3</v>
      </c>
      <c r="L6" s="78">
        <v>0</v>
      </c>
      <c r="M6" s="65">
        <f t="shared" si="0"/>
        <v>13.940000000000168</v>
      </c>
      <c r="N6" s="65">
        <v>7230.1</v>
      </c>
      <c r="O6" s="65">
        <v>7100</v>
      </c>
      <c r="P6" s="3">
        <f t="shared" si="1"/>
        <v>1.018323943661972</v>
      </c>
      <c r="Q6" s="2">
        <v>6752.8</v>
      </c>
      <c r="R6" s="71">
        <v>0</v>
      </c>
      <c r="S6" s="72">
        <v>0</v>
      </c>
      <c r="T6" s="73">
        <v>0</v>
      </c>
      <c r="U6" s="127">
        <v>0</v>
      </c>
      <c r="V6" s="128"/>
      <c r="W6" s="68">
        <f t="shared" si="3"/>
        <v>0</v>
      </c>
    </row>
    <row r="7" spans="1:23" ht="12.75">
      <c r="A7" s="10">
        <v>43502</v>
      </c>
      <c r="B7" s="77">
        <v>5590.4</v>
      </c>
      <c r="C7" s="79">
        <v>18</v>
      </c>
      <c r="D7" s="106">
        <v>18</v>
      </c>
      <c r="E7" s="106">
        <f t="shared" si="2"/>
        <v>0</v>
      </c>
      <c r="F7" s="65">
        <v>16.8</v>
      </c>
      <c r="G7" s="65">
        <v>139.8</v>
      </c>
      <c r="H7" s="79">
        <v>2735.4</v>
      </c>
      <c r="I7" s="78">
        <v>5.6</v>
      </c>
      <c r="J7" s="78">
        <v>15.9</v>
      </c>
      <c r="K7" s="78">
        <v>0</v>
      </c>
      <c r="L7" s="78">
        <v>0</v>
      </c>
      <c r="M7" s="65">
        <f t="shared" si="0"/>
        <v>23.89999999999918</v>
      </c>
      <c r="N7" s="65">
        <v>8545.8</v>
      </c>
      <c r="O7" s="65">
        <v>9000</v>
      </c>
      <c r="P7" s="3">
        <f t="shared" si="1"/>
        <v>0.9495333333333332</v>
      </c>
      <c r="Q7" s="2">
        <v>6752.8</v>
      </c>
      <c r="R7" s="71">
        <v>0</v>
      </c>
      <c r="S7" s="72">
        <v>0</v>
      </c>
      <c r="T7" s="73">
        <v>0</v>
      </c>
      <c r="U7" s="127">
        <v>0</v>
      </c>
      <c r="V7" s="128"/>
      <c r="W7" s="68">
        <f t="shared" si="3"/>
        <v>0</v>
      </c>
    </row>
    <row r="8" spans="1:23" ht="12.75">
      <c r="A8" s="10">
        <v>43503</v>
      </c>
      <c r="B8" s="65">
        <v>14975.6</v>
      </c>
      <c r="C8" s="70">
        <v>51.8</v>
      </c>
      <c r="D8" s="106">
        <v>51.8</v>
      </c>
      <c r="E8" s="106">
        <f t="shared" si="2"/>
        <v>0</v>
      </c>
      <c r="F8" s="78">
        <v>55.7</v>
      </c>
      <c r="G8" s="78">
        <v>93.1</v>
      </c>
      <c r="H8" s="65">
        <v>2239.2</v>
      </c>
      <c r="I8" s="78">
        <v>139.5</v>
      </c>
      <c r="J8" s="78">
        <v>111.3</v>
      </c>
      <c r="K8" s="78">
        <v>0</v>
      </c>
      <c r="L8" s="78">
        <v>0</v>
      </c>
      <c r="M8" s="65">
        <f t="shared" si="0"/>
        <v>27.200000000001367</v>
      </c>
      <c r="N8" s="65">
        <v>17693.4</v>
      </c>
      <c r="O8" s="65">
        <v>17200</v>
      </c>
      <c r="P8" s="3">
        <f t="shared" si="1"/>
        <v>1.028686046511628</v>
      </c>
      <c r="Q8" s="2">
        <v>6752.8</v>
      </c>
      <c r="R8" s="71">
        <v>0</v>
      </c>
      <c r="S8" s="72">
        <v>0</v>
      </c>
      <c r="T8" s="70">
        <v>0</v>
      </c>
      <c r="U8" s="125">
        <v>1</v>
      </c>
      <c r="V8" s="126"/>
      <c r="W8" s="68">
        <f t="shared" si="3"/>
        <v>1</v>
      </c>
    </row>
    <row r="9" spans="1:23" ht="12.75">
      <c r="A9" s="10">
        <v>43504</v>
      </c>
      <c r="B9" s="65">
        <v>2378.8</v>
      </c>
      <c r="C9" s="70">
        <v>12.1</v>
      </c>
      <c r="D9" s="106">
        <v>12.1</v>
      </c>
      <c r="E9" s="106">
        <f t="shared" si="2"/>
        <v>0</v>
      </c>
      <c r="F9" s="78">
        <v>64.9</v>
      </c>
      <c r="G9" s="82">
        <v>236.4</v>
      </c>
      <c r="H9" s="65">
        <v>1610.1</v>
      </c>
      <c r="I9" s="78">
        <v>13.4</v>
      </c>
      <c r="J9" s="78">
        <v>75.1</v>
      </c>
      <c r="K9" s="78">
        <v>0</v>
      </c>
      <c r="L9" s="78">
        <v>0</v>
      </c>
      <c r="M9" s="65">
        <f t="shared" si="0"/>
        <v>33.899999999999636</v>
      </c>
      <c r="N9" s="65">
        <v>4424.7</v>
      </c>
      <c r="O9" s="65">
        <v>4800</v>
      </c>
      <c r="P9" s="3">
        <f t="shared" si="1"/>
        <v>0.9218124999999999</v>
      </c>
      <c r="Q9" s="2">
        <v>6752.8</v>
      </c>
      <c r="R9" s="71">
        <v>0</v>
      </c>
      <c r="S9" s="72">
        <v>0</v>
      </c>
      <c r="T9" s="70">
        <v>0</v>
      </c>
      <c r="U9" s="125">
        <v>0</v>
      </c>
      <c r="V9" s="126"/>
      <c r="W9" s="68">
        <f t="shared" si="3"/>
        <v>0</v>
      </c>
    </row>
    <row r="10" spans="1:23" ht="12.75">
      <c r="A10" s="10">
        <v>43507</v>
      </c>
      <c r="B10" s="65">
        <v>1473</v>
      </c>
      <c r="C10" s="70">
        <v>9.1</v>
      </c>
      <c r="D10" s="106">
        <v>9.1</v>
      </c>
      <c r="E10" s="106">
        <f t="shared" si="2"/>
        <v>0</v>
      </c>
      <c r="F10" s="78">
        <v>9.7</v>
      </c>
      <c r="G10" s="78">
        <v>298.1</v>
      </c>
      <c r="H10" s="65">
        <v>1976</v>
      </c>
      <c r="I10" s="78">
        <v>187.1</v>
      </c>
      <c r="J10" s="78">
        <v>39.3</v>
      </c>
      <c r="K10" s="78">
        <v>0</v>
      </c>
      <c r="L10" s="78">
        <v>0</v>
      </c>
      <c r="M10" s="65">
        <f t="shared" si="0"/>
        <v>19.000000000000554</v>
      </c>
      <c r="N10" s="65">
        <v>4011.3</v>
      </c>
      <c r="O10" s="72">
        <v>3200</v>
      </c>
      <c r="P10" s="3">
        <f t="shared" si="1"/>
        <v>1.25353125</v>
      </c>
      <c r="Q10" s="2">
        <v>6752.8</v>
      </c>
      <c r="R10" s="71">
        <v>0</v>
      </c>
      <c r="S10" s="72">
        <v>0</v>
      </c>
      <c r="T10" s="70">
        <v>0</v>
      </c>
      <c r="U10" s="125">
        <v>0</v>
      </c>
      <c r="V10" s="126"/>
      <c r="W10" s="68">
        <f>R10+S10+U10+T10+V10</f>
        <v>0</v>
      </c>
    </row>
    <row r="11" spans="1:23" ht="12.75">
      <c r="A11" s="10">
        <v>43508</v>
      </c>
      <c r="B11" s="65">
        <v>810.3</v>
      </c>
      <c r="C11" s="70">
        <v>87.2</v>
      </c>
      <c r="D11" s="106">
        <v>87.2</v>
      </c>
      <c r="E11" s="106">
        <f t="shared" si="2"/>
        <v>0</v>
      </c>
      <c r="F11" s="78">
        <v>20.1</v>
      </c>
      <c r="G11" s="78">
        <v>220.3</v>
      </c>
      <c r="H11" s="65">
        <v>2298.4</v>
      </c>
      <c r="I11" s="78">
        <v>6.9</v>
      </c>
      <c r="J11" s="78">
        <v>13.8</v>
      </c>
      <c r="K11" s="78">
        <v>0</v>
      </c>
      <c r="L11" s="78">
        <v>0</v>
      </c>
      <c r="M11" s="65">
        <f t="shared" si="0"/>
        <v>9.8</v>
      </c>
      <c r="N11" s="65">
        <v>3466.8</v>
      </c>
      <c r="O11" s="65">
        <v>4900</v>
      </c>
      <c r="P11" s="3">
        <f t="shared" si="1"/>
        <v>0.7075102040816327</v>
      </c>
      <c r="Q11" s="2">
        <v>6752.8</v>
      </c>
      <c r="R11" s="69">
        <v>0</v>
      </c>
      <c r="S11" s="65">
        <v>0</v>
      </c>
      <c r="T11" s="70">
        <v>0</v>
      </c>
      <c r="U11" s="125">
        <v>0</v>
      </c>
      <c r="V11" s="126"/>
      <c r="W11" s="68">
        <f t="shared" si="3"/>
        <v>0</v>
      </c>
    </row>
    <row r="12" spans="1:23" ht="12.75">
      <c r="A12" s="10">
        <v>43509</v>
      </c>
      <c r="B12" s="77"/>
      <c r="C12" s="70"/>
      <c r="D12" s="106"/>
      <c r="E12" s="106">
        <f t="shared" si="2"/>
        <v>0</v>
      </c>
      <c r="F12" s="78"/>
      <c r="G12" s="78"/>
      <c r="H12" s="65"/>
      <c r="I12" s="78"/>
      <c r="J12" s="78"/>
      <c r="K12" s="78"/>
      <c r="L12" s="78"/>
      <c r="M12" s="65">
        <f t="shared" si="0"/>
        <v>0</v>
      </c>
      <c r="N12" s="65"/>
      <c r="O12" s="65">
        <v>4800</v>
      </c>
      <c r="P12" s="3">
        <f t="shared" si="1"/>
        <v>0</v>
      </c>
      <c r="Q12" s="2">
        <v>6752.8</v>
      </c>
      <c r="R12" s="69"/>
      <c r="S12" s="65"/>
      <c r="T12" s="70"/>
      <c r="U12" s="125"/>
      <c r="V12" s="126"/>
      <c r="W12" s="68">
        <f t="shared" si="3"/>
        <v>0</v>
      </c>
    </row>
    <row r="13" spans="1:23" ht="12.75">
      <c r="A13" s="10">
        <v>43510</v>
      </c>
      <c r="B13" s="65"/>
      <c r="C13" s="70"/>
      <c r="D13" s="106"/>
      <c r="E13" s="106">
        <f t="shared" si="2"/>
        <v>0</v>
      </c>
      <c r="F13" s="78"/>
      <c r="G13" s="78"/>
      <c r="H13" s="65"/>
      <c r="I13" s="78"/>
      <c r="J13" s="78"/>
      <c r="K13" s="78"/>
      <c r="L13" s="78"/>
      <c r="M13" s="65">
        <f t="shared" si="0"/>
        <v>0</v>
      </c>
      <c r="N13" s="65"/>
      <c r="O13" s="65">
        <v>10500</v>
      </c>
      <c r="P13" s="3">
        <f t="shared" si="1"/>
        <v>0</v>
      </c>
      <c r="Q13" s="2">
        <v>6752.8</v>
      </c>
      <c r="R13" s="69"/>
      <c r="S13" s="65"/>
      <c r="T13" s="70"/>
      <c r="U13" s="125"/>
      <c r="V13" s="126"/>
      <c r="W13" s="68">
        <v>0</v>
      </c>
    </row>
    <row r="14" spans="1:23" ht="12.75">
      <c r="A14" s="10">
        <v>43511</v>
      </c>
      <c r="B14" s="65"/>
      <c r="C14" s="70"/>
      <c r="D14" s="106"/>
      <c r="E14" s="106">
        <f t="shared" si="2"/>
        <v>0</v>
      </c>
      <c r="F14" s="78"/>
      <c r="G14" s="78"/>
      <c r="H14" s="65"/>
      <c r="I14" s="78"/>
      <c r="J14" s="78"/>
      <c r="K14" s="78"/>
      <c r="L14" s="78"/>
      <c r="M14" s="65">
        <f t="shared" si="0"/>
        <v>0</v>
      </c>
      <c r="N14" s="65"/>
      <c r="O14" s="65">
        <v>6600</v>
      </c>
      <c r="P14" s="3">
        <f t="shared" si="1"/>
        <v>0</v>
      </c>
      <c r="Q14" s="2">
        <v>6752.8</v>
      </c>
      <c r="R14" s="69"/>
      <c r="S14" s="65"/>
      <c r="T14" s="74"/>
      <c r="U14" s="125"/>
      <c r="V14" s="126"/>
      <c r="W14" s="68">
        <f t="shared" si="3"/>
        <v>0</v>
      </c>
    </row>
    <row r="15" spans="1:23" ht="12.75">
      <c r="A15" s="10">
        <v>43514</v>
      </c>
      <c r="B15" s="65"/>
      <c r="C15" s="66"/>
      <c r="D15" s="106"/>
      <c r="E15" s="106">
        <f t="shared" si="2"/>
        <v>0</v>
      </c>
      <c r="F15" s="81"/>
      <c r="G15" s="81"/>
      <c r="H15" s="82"/>
      <c r="I15" s="81"/>
      <c r="J15" s="81"/>
      <c r="K15" s="81"/>
      <c r="L15" s="81"/>
      <c r="M15" s="65">
        <f t="shared" si="0"/>
        <v>0</v>
      </c>
      <c r="N15" s="65"/>
      <c r="O15" s="72">
        <v>6800</v>
      </c>
      <c r="P15" s="3">
        <f>N15/O15</f>
        <v>0</v>
      </c>
      <c r="Q15" s="2">
        <v>6752.8</v>
      </c>
      <c r="R15" s="69"/>
      <c r="S15" s="65"/>
      <c r="T15" s="74"/>
      <c r="U15" s="125"/>
      <c r="V15" s="126"/>
      <c r="W15" s="68">
        <f t="shared" si="3"/>
        <v>0</v>
      </c>
    </row>
    <row r="16" spans="1:23" ht="12.75">
      <c r="A16" s="10">
        <v>43515</v>
      </c>
      <c r="B16" s="65"/>
      <c r="C16" s="70"/>
      <c r="D16" s="106"/>
      <c r="E16" s="106">
        <f t="shared" si="2"/>
        <v>0</v>
      </c>
      <c r="F16" s="78"/>
      <c r="G16" s="78"/>
      <c r="H16" s="65"/>
      <c r="I16" s="78"/>
      <c r="J16" s="78"/>
      <c r="K16" s="78"/>
      <c r="L16" s="78"/>
      <c r="M16" s="65">
        <f t="shared" si="0"/>
        <v>0</v>
      </c>
      <c r="N16" s="65"/>
      <c r="O16" s="72">
        <v>5490</v>
      </c>
      <c r="P16" s="3">
        <f t="shared" si="1"/>
        <v>0</v>
      </c>
      <c r="Q16" s="2">
        <v>6752.8</v>
      </c>
      <c r="R16" s="69"/>
      <c r="S16" s="65"/>
      <c r="T16" s="74"/>
      <c r="U16" s="125"/>
      <c r="V16" s="126"/>
      <c r="W16" s="68">
        <f t="shared" si="3"/>
        <v>0</v>
      </c>
    </row>
    <row r="17" spans="1:23" ht="12.75">
      <c r="A17" s="10">
        <v>43516</v>
      </c>
      <c r="B17" s="65"/>
      <c r="C17" s="70"/>
      <c r="D17" s="106"/>
      <c r="E17" s="106">
        <f t="shared" si="2"/>
        <v>0</v>
      </c>
      <c r="F17" s="78"/>
      <c r="G17" s="78"/>
      <c r="H17" s="65"/>
      <c r="I17" s="78"/>
      <c r="J17" s="78"/>
      <c r="K17" s="78"/>
      <c r="L17" s="78"/>
      <c r="M17" s="65">
        <f t="shared" si="0"/>
        <v>0</v>
      </c>
      <c r="N17" s="65"/>
      <c r="O17" s="65">
        <v>12100</v>
      </c>
      <c r="P17" s="3">
        <f t="shared" si="1"/>
        <v>0</v>
      </c>
      <c r="Q17" s="2">
        <v>6752.8</v>
      </c>
      <c r="R17" s="69"/>
      <c r="S17" s="65"/>
      <c r="T17" s="74"/>
      <c r="U17" s="125"/>
      <c r="V17" s="126"/>
      <c r="W17" s="68">
        <f t="shared" si="3"/>
        <v>0</v>
      </c>
    </row>
    <row r="18" spans="1:23" ht="12.75">
      <c r="A18" s="10">
        <v>43517</v>
      </c>
      <c r="B18" s="65"/>
      <c r="C18" s="70"/>
      <c r="D18" s="106"/>
      <c r="E18" s="106">
        <f t="shared" si="2"/>
        <v>0</v>
      </c>
      <c r="F18" s="78"/>
      <c r="G18" s="78"/>
      <c r="H18" s="65"/>
      <c r="I18" s="78"/>
      <c r="J18" s="78"/>
      <c r="K18" s="78"/>
      <c r="L18" s="78"/>
      <c r="M18" s="65">
        <f>N18-B18-C18-F18-G18-H18-I18-J18-K18-L18</f>
        <v>0</v>
      </c>
      <c r="N18" s="65"/>
      <c r="O18" s="65">
        <v>4700</v>
      </c>
      <c r="P18" s="3">
        <f>N18/O18</f>
        <v>0</v>
      </c>
      <c r="Q18" s="2">
        <v>6752.8</v>
      </c>
      <c r="R18" s="69"/>
      <c r="S18" s="65"/>
      <c r="T18" s="70"/>
      <c r="U18" s="125"/>
      <c r="V18" s="126"/>
      <c r="W18" s="68">
        <f t="shared" si="3"/>
        <v>0</v>
      </c>
    </row>
    <row r="19" spans="1:23" ht="12.75">
      <c r="A19" s="10">
        <v>43518</v>
      </c>
      <c r="B19" s="65"/>
      <c r="C19" s="70"/>
      <c r="D19" s="106"/>
      <c r="E19" s="106">
        <f t="shared" si="2"/>
        <v>0</v>
      </c>
      <c r="F19" s="78"/>
      <c r="G19" s="78"/>
      <c r="H19" s="65"/>
      <c r="I19" s="78"/>
      <c r="J19" s="78"/>
      <c r="K19" s="78"/>
      <c r="L19" s="78"/>
      <c r="M19" s="65">
        <f>N19-B19-C19-F19-G19-H19-I19-J19-K19-L19</f>
        <v>0</v>
      </c>
      <c r="N19" s="65"/>
      <c r="O19" s="65">
        <v>4600</v>
      </c>
      <c r="P19" s="3">
        <f t="shared" si="1"/>
        <v>0</v>
      </c>
      <c r="Q19" s="2">
        <v>6752.8</v>
      </c>
      <c r="R19" s="69"/>
      <c r="S19" s="65"/>
      <c r="T19" s="70"/>
      <c r="U19" s="125"/>
      <c r="V19" s="126"/>
      <c r="W19" s="68">
        <f t="shared" si="3"/>
        <v>0</v>
      </c>
    </row>
    <row r="20" spans="1:23" ht="12.75">
      <c r="A20" s="10">
        <v>43521</v>
      </c>
      <c r="B20" s="65"/>
      <c r="C20" s="70"/>
      <c r="D20" s="106"/>
      <c r="E20" s="106">
        <f t="shared" si="2"/>
        <v>0</v>
      </c>
      <c r="F20" s="78"/>
      <c r="G20" s="65"/>
      <c r="H20" s="65"/>
      <c r="I20" s="78"/>
      <c r="J20" s="78"/>
      <c r="K20" s="78"/>
      <c r="L20" s="78"/>
      <c r="M20" s="65">
        <f t="shared" si="0"/>
        <v>0</v>
      </c>
      <c r="N20" s="65"/>
      <c r="O20" s="65">
        <v>5330</v>
      </c>
      <c r="P20" s="3">
        <f t="shared" si="1"/>
        <v>0</v>
      </c>
      <c r="Q20" s="2">
        <v>6752.8</v>
      </c>
      <c r="R20" s="69"/>
      <c r="S20" s="65"/>
      <c r="T20" s="70"/>
      <c r="U20" s="125"/>
      <c r="V20" s="126"/>
      <c r="W20" s="68">
        <f t="shared" si="3"/>
        <v>0</v>
      </c>
    </row>
    <row r="21" spans="1:23" ht="12.75">
      <c r="A21" s="10">
        <v>43522</v>
      </c>
      <c r="B21" s="65"/>
      <c r="C21" s="70"/>
      <c r="D21" s="106"/>
      <c r="E21" s="106">
        <f t="shared" si="2"/>
        <v>0</v>
      </c>
      <c r="F21" s="78"/>
      <c r="G21" s="65"/>
      <c r="H21" s="65"/>
      <c r="I21" s="78"/>
      <c r="J21" s="78"/>
      <c r="K21" s="78"/>
      <c r="L21" s="78"/>
      <c r="M21" s="65">
        <f t="shared" si="0"/>
        <v>0</v>
      </c>
      <c r="N21" s="65"/>
      <c r="O21" s="65">
        <v>8800</v>
      </c>
      <c r="P21" s="3">
        <f t="shared" si="1"/>
        <v>0</v>
      </c>
      <c r="Q21" s="2">
        <v>6752.8</v>
      </c>
      <c r="R21" s="102"/>
      <c r="S21" s="103"/>
      <c r="T21" s="104"/>
      <c r="U21" s="125"/>
      <c r="V21" s="126"/>
      <c r="W21" s="68">
        <f t="shared" si="3"/>
        <v>0</v>
      </c>
    </row>
    <row r="22" spans="1:23" ht="12.75">
      <c r="A22" s="10">
        <v>43523</v>
      </c>
      <c r="B22" s="65"/>
      <c r="C22" s="70"/>
      <c r="D22" s="106"/>
      <c r="E22" s="106">
        <f t="shared" si="2"/>
        <v>0</v>
      </c>
      <c r="F22" s="78"/>
      <c r="G22" s="65"/>
      <c r="H22" s="65"/>
      <c r="I22" s="78"/>
      <c r="J22" s="78"/>
      <c r="K22" s="78"/>
      <c r="L22" s="78"/>
      <c r="M22" s="65">
        <f t="shared" si="0"/>
        <v>0</v>
      </c>
      <c r="N22" s="65"/>
      <c r="O22" s="65">
        <v>17500</v>
      </c>
      <c r="P22" s="3">
        <f t="shared" si="1"/>
        <v>0</v>
      </c>
      <c r="Q22" s="2">
        <v>6752.8</v>
      </c>
      <c r="R22" s="102"/>
      <c r="S22" s="103"/>
      <c r="T22" s="104"/>
      <c r="U22" s="125"/>
      <c r="V22" s="126"/>
      <c r="W22" s="68">
        <f t="shared" si="3"/>
        <v>0</v>
      </c>
    </row>
    <row r="23" spans="1:23" ht="13.5" thickBot="1">
      <c r="A23" s="10">
        <v>43524</v>
      </c>
      <c r="B23" s="65"/>
      <c r="C23" s="74"/>
      <c r="D23" s="106"/>
      <c r="E23" s="106">
        <f t="shared" si="2"/>
        <v>0</v>
      </c>
      <c r="F23" s="78"/>
      <c r="G23" s="65"/>
      <c r="H23" s="65"/>
      <c r="I23" s="78"/>
      <c r="J23" s="78"/>
      <c r="K23" s="78"/>
      <c r="L23" s="78"/>
      <c r="M23" s="65">
        <f t="shared" si="0"/>
        <v>0</v>
      </c>
      <c r="N23" s="65"/>
      <c r="O23" s="65">
        <v>15600</v>
      </c>
      <c r="P23" s="3">
        <f t="shared" si="1"/>
        <v>0</v>
      </c>
      <c r="Q23" s="2">
        <v>6752.8</v>
      </c>
      <c r="R23" s="98"/>
      <c r="S23" s="99"/>
      <c r="T23" s="100"/>
      <c r="U23" s="137"/>
      <c r="V23" s="138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33240.12</v>
      </c>
      <c r="C24" s="85">
        <f t="shared" si="4"/>
        <v>211.04</v>
      </c>
      <c r="D24" s="107">
        <f t="shared" si="4"/>
        <v>211.04</v>
      </c>
      <c r="E24" s="107">
        <f t="shared" si="4"/>
        <v>0</v>
      </c>
      <c r="F24" s="85">
        <f t="shared" si="4"/>
        <v>39.10000000000001</v>
      </c>
      <c r="G24" s="85">
        <f t="shared" si="4"/>
        <v>1459.4999999999998</v>
      </c>
      <c r="H24" s="85">
        <f t="shared" si="4"/>
        <v>16789.399999999998</v>
      </c>
      <c r="I24" s="85">
        <f t="shared" si="4"/>
        <v>473.29999999999995</v>
      </c>
      <c r="J24" s="85">
        <f t="shared" si="4"/>
        <v>332.4</v>
      </c>
      <c r="K24" s="85">
        <f t="shared" si="4"/>
        <v>624.3</v>
      </c>
      <c r="L24" s="85">
        <f t="shared" si="4"/>
        <v>669.9</v>
      </c>
      <c r="M24" s="84">
        <f t="shared" si="4"/>
        <v>183.44000000000074</v>
      </c>
      <c r="N24" s="84">
        <f t="shared" si="4"/>
        <v>54022.5</v>
      </c>
      <c r="O24" s="84">
        <f t="shared" si="4"/>
        <v>157520</v>
      </c>
      <c r="P24" s="86">
        <f>N24/O24</f>
        <v>0.3429564499746064</v>
      </c>
      <c r="Q24" s="2"/>
      <c r="R24" s="75">
        <f>SUM(R4:R23)</f>
        <v>0</v>
      </c>
      <c r="S24" s="75">
        <f>SUM(S4:S23)</f>
        <v>0</v>
      </c>
      <c r="T24" s="75">
        <f>SUM(T4:T23)</f>
        <v>0</v>
      </c>
      <c r="U24" s="139">
        <f>SUM(U4:U23)</f>
        <v>1</v>
      </c>
      <c r="V24" s="140"/>
      <c r="W24" s="75">
        <f>R24+S24+U24+T24+V24</f>
        <v>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1" t="s">
        <v>33</v>
      </c>
      <c r="S27" s="141"/>
      <c r="T27" s="141"/>
      <c r="U27" s="141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2" t="s">
        <v>29</v>
      </c>
      <c r="S28" s="142"/>
      <c r="T28" s="142"/>
      <c r="U28" s="142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9">
        <v>43509</v>
      </c>
      <c r="S29" s="143">
        <v>0</v>
      </c>
      <c r="T29" s="143"/>
      <c r="U29" s="143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/>
      <c r="S30" s="143"/>
      <c r="T30" s="143"/>
      <c r="U30" s="143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4" t="s">
        <v>45</v>
      </c>
      <c r="T32" s="145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6" t="s">
        <v>40</v>
      </c>
      <c r="T33" s="146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1" t="s">
        <v>30</v>
      </c>
      <c r="S37" s="141"/>
      <c r="T37" s="141"/>
      <c r="U37" s="141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7" t="s">
        <v>31</v>
      </c>
      <c r="S38" s="147"/>
      <c r="T38" s="147"/>
      <c r="U38" s="147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9">
        <v>43509</v>
      </c>
      <c r="S39" s="131">
        <v>15164.716009999998</v>
      </c>
      <c r="T39" s="132"/>
      <c r="U39" s="133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0"/>
      <c r="S40" s="134"/>
      <c r="T40" s="135"/>
      <c r="U40" s="136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2:V22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tabSelected="1"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66" t="s">
        <v>78</v>
      </c>
      <c r="C26" s="166"/>
      <c r="D26" s="166"/>
      <c r="E26" s="166"/>
      <c r="F26" s="166"/>
      <c r="G26" s="166"/>
      <c r="H26" s="166"/>
      <c r="I26" s="166"/>
      <c r="J26" s="166"/>
      <c r="K26" s="166"/>
      <c r="L26" s="167"/>
      <c r="M26" s="167"/>
      <c r="N26" s="167"/>
    </row>
    <row r="27" spans="1:16" ht="54" customHeight="1">
      <c r="A27" s="161" t="s">
        <v>32</v>
      </c>
      <c r="B27" s="157" t="s">
        <v>43</v>
      </c>
      <c r="C27" s="157"/>
      <c r="D27" s="151" t="s">
        <v>49</v>
      </c>
      <c r="E27" s="163"/>
      <c r="F27" s="164" t="s">
        <v>44</v>
      </c>
      <c r="G27" s="150"/>
      <c r="H27" s="165" t="s">
        <v>51</v>
      </c>
      <c r="I27" s="151"/>
      <c r="J27" s="158"/>
      <c r="K27" s="159"/>
      <c r="L27" s="154" t="s">
        <v>36</v>
      </c>
      <c r="M27" s="155"/>
      <c r="N27" s="156"/>
      <c r="O27" s="148" t="s">
        <v>79</v>
      </c>
      <c r="P27" s="149"/>
    </row>
    <row r="28" spans="1:16" ht="30.75" customHeight="1">
      <c r="A28" s="162"/>
      <c r="B28" s="44" t="s">
        <v>75</v>
      </c>
      <c r="C28" s="22" t="s">
        <v>23</v>
      </c>
      <c r="D28" s="44" t="str">
        <f>B28</f>
        <v>план на січень-лютий 2019р.</v>
      </c>
      <c r="E28" s="22" t="str">
        <f>C28</f>
        <v>факт</v>
      </c>
      <c r="F28" s="43" t="str">
        <f>B28</f>
        <v>план на січень-лютий 2019р.</v>
      </c>
      <c r="G28" s="58" t="str">
        <f>C28</f>
        <v>факт</v>
      </c>
      <c r="H28" s="44" t="str">
        <f>B28</f>
        <v>план на січень-лютий 2019р.</v>
      </c>
      <c r="I28" s="22" t="str">
        <f>C28</f>
        <v>факт</v>
      </c>
      <c r="J28" s="43"/>
      <c r="K28" s="58"/>
      <c r="L28" s="41" t="str">
        <f>D28</f>
        <v>план на січень-лютий 2019р.</v>
      </c>
      <c r="M28" s="22" t="str">
        <f>C28</f>
        <v>факт</v>
      </c>
      <c r="N28" s="42" t="s">
        <v>24</v>
      </c>
      <c r="O28" s="150"/>
      <c r="P28" s="151"/>
    </row>
    <row r="29" spans="1:16" ht="23.25" customHeight="1" thickBot="1">
      <c r="A29" s="40">
        <f>січень!S40</f>
        <v>15164.716009999998</v>
      </c>
      <c r="B29" s="45">
        <v>70</v>
      </c>
      <c r="C29" s="45">
        <v>37.55</v>
      </c>
      <c r="D29" s="45">
        <v>0</v>
      </c>
      <c r="E29" s="45">
        <v>0.01</v>
      </c>
      <c r="F29" s="45">
        <v>1960</v>
      </c>
      <c r="G29" s="45">
        <v>1615.85</v>
      </c>
      <c r="H29" s="45">
        <v>4</v>
      </c>
      <c r="I29" s="45">
        <v>2</v>
      </c>
      <c r="J29" s="45"/>
      <c r="K29" s="45"/>
      <c r="L29" s="59">
        <f>H29+F29+D29+J29+B29</f>
        <v>2034</v>
      </c>
      <c r="M29" s="46">
        <f>C29+E29+G29+I29</f>
        <v>1655.4099999999999</v>
      </c>
      <c r="N29" s="47">
        <f>M29-L29</f>
        <v>-378.59000000000015</v>
      </c>
      <c r="O29" s="152">
        <f>січень!S30</f>
        <v>0</v>
      </c>
      <c r="P29" s="153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57"/>
      <c r="P30" s="157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174574.09999999998</v>
      </c>
      <c r="C48" s="28">
        <v>114274.27</v>
      </c>
      <c r="F48" s="1" t="s">
        <v>22</v>
      </c>
      <c r="G48" s="6"/>
      <c r="H48" s="160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30140.300000000003</v>
      </c>
      <c r="C49" s="28">
        <v>14959.83</v>
      </c>
      <c r="G49" s="6"/>
      <c r="H49" s="160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70218.6</v>
      </c>
      <c r="C50" s="28">
        <v>48667.2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7276.400000000001</v>
      </c>
      <c r="C51" s="28">
        <v>6554.47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9627.6</v>
      </c>
      <c r="C52" s="28">
        <v>5738.78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1265.3</v>
      </c>
      <c r="C53" s="28">
        <v>1289.55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56</v>
      </c>
      <c r="B54" s="12">
        <v>669.86</v>
      </c>
      <c r="C54" s="28">
        <v>669.86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5934.400000000011</v>
      </c>
      <c r="C55" s="12">
        <v>3587.149999999982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299706.56</v>
      </c>
      <c r="C56" s="9">
        <v>195741.11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52</v>
      </c>
      <c r="B58" s="9">
        <f>B29</f>
        <v>70</v>
      </c>
      <c r="C58" s="9">
        <f>C29</f>
        <v>37.55</v>
      </c>
    </row>
    <row r="59" spans="1:3" ht="25.5">
      <c r="A59" s="76" t="s">
        <v>53</v>
      </c>
      <c r="B59" s="9">
        <f>D29</f>
        <v>0</v>
      </c>
      <c r="C59" s="9">
        <f>E29</f>
        <v>0.01</v>
      </c>
    </row>
    <row r="60" spans="1:3" ht="12.75">
      <c r="A60" s="76" t="s">
        <v>54</v>
      </c>
      <c r="B60" s="9">
        <f>F29</f>
        <v>1960</v>
      </c>
      <c r="C60" s="9">
        <f>G29</f>
        <v>1615.85</v>
      </c>
    </row>
    <row r="61" spans="1:3" ht="25.5">
      <c r="A61" s="76" t="s">
        <v>55</v>
      </c>
      <c r="B61" s="9">
        <f>H29</f>
        <v>4</v>
      </c>
      <c r="C61" s="9">
        <f>I29</f>
        <v>2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N24" sqref="N24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2" width="9.125" style="15" customWidth="1"/>
    <col min="13" max="13" width="9.875" style="15" customWidth="1"/>
    <col min="14" max="14" width="13.50390625" style="15" customWidth="1"/>
  </cols>
  <sheetData>
    <row r="2" ht="17.25">
      <c r="B2" s="14" t="s">
        <v>68</v>
      </c>
    </row>
    <row r="3" spans="2:7" ht="17.25" hidden="1">
      <c r="B3" s="14"/>
      <c r="G3" s="15" t="s">
        <v>58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80</v>
      </c>
      <c r="B6" s="11">
        <v>141718.7</v>
      </c>
      <c r="C6" s="11">
        <v>157987.862</v>
      </c>
      <c r="D6" s="11">
        <v>151549</v>
      </c>
      <c r="E6" s="11">
        <v>162802</v>
      </c>
      <c r="F6" s="11">
        <v>173752.7</v>
      </c>
      <c r="G6" s="11">
        <v>152891.4</v>
      </c>
      <c r="H6" s="11">
        <v>163946.9</v>
      </c>
      <c r="I6" s="11">
        <v>169538</v>
      </c>
      <c r="J6" s="11">
        <v>169140.7</v>
      </c>
      <c r="K6" s="11">
        <v>174884.9</v>
      </c>
      <c r="L6" s="11">
        <v>187929.7</v>
      </c>
      <c r="M6" s="11">
        <v>175710.538</v>
      </c>
      <c r="N6" s="31">
        <f>SUM(B6:M6)</f>
        <v>1981852.4</v>
      </c>
    </row>
    <row r="7" spans="1:14" ht="25.5">
      <c r="A7" s="13" t="s">
        <v>82</v>
      </c>
      <c r="B7" s="18">
        <f aca="true" t="shared" si="0" ref="B7:M7">SUM(B8:B16)</f>
        <v>0</v>
      </c>
      <c r="C7" s="18">
        <f t="shared" si="0"/>
        <v>0</v>
      </c>
      <c r="D7" s="18">
        <f>SUM(D8:D16)</f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31">
        <f>SUM(B8:M16)</f>
        <v>0</v>
      </c>
    </row>
    <row r="8" spans="1:14" ht="14.25" customHeight="1" hidden="1">
      <c r="A8" s="25" t="s">
        <v>69</v>
      </c>
      <c r="B8" s="26">
        <v>0</v>
      </c>
      <c r="C8" s="26">
        <v>0</v>
      </c>
      <c r="D8" s="26">
        <v>0</v>
      </c>
      <c r="E8" s="26"/>
      <c r="F8" s="26"/>
      <c r="G8" s="26"/>
      <c r="H8" s="26"/>
      <c r="I8" s="26"/>
      <c r="J8" s="26"/>
      <c r="K8" s="26"/>
      <c r="L8" s="26"/>
      <c r="M8" s="26"/>
      <c r="N8" s="27">
        <f aca="true" t="shared" si="1" ref="N8:N17">SUM(B8:M8)</f>
        <v>0</v>
      </c>
    </row>
    <row r="9" spans="1:14" ht="12.75" hidden="1">
      <c r="A9" s="25" t="s">
        <v>69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>
        <f t="shared" si="1"/>
        <v>0</v>
      </c>
    </row>
    <row r="10" spans="1:14" ht="12.75" hidden="1">
      <c r="A10" s="25" t="s">
        <v>69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>
        <f t="shared" si="1"/>
        <v>0</v>
      </c>
    </row>
    <row r="11" spans="1:14" ht="12.75" hidden="1">
      <c r="A11" s="25" t="s">
        <v>69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>
        <f t="shared" si="1"/>
        <v>0</v>
      </c>
    </row>
    <row r="12" spans="1:14" ht="12.75" hidden="1">
      <c r="A12" s="25" t="s">
        <v>69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>
        <f t="shared" si="1"/>
        <v>0</v>
      </c>
    </row>
    <row r="13" spans="1:14" ht="12.75" hidden="1">
      <c r="A13" s="25" t="s">
        <v>69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69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69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81</v>
      </c>
      <c r="B17" s="30">
        <f>B7+B6</f>
        <v>141718.7</v>
      </c>
      <c r="C17" s="30">
        <f aca="true" t="shared" si="2" ref="C17:M17">C7+C6</f>
        <v>157987.862</v>
      </c>
      <c r="D17" s="30">
        <f t="shared" si="2"/>
        <v>151549</v>
      </c>
      <c r="E17" s="30">
        <f t="shared" si="2"/>
        <v>162802</v>
      </c>
      <c r="F17" s="30">
        <f t="shared" si="2"/>
        <v>173752.7</v>
      </c>
      <c r="G17" s="30">
        <f t="shared" si="2"/>
        <v>152891.4</v>
      </c>
      <c r="H17" s="30">
        <f t="shared" si="2"/>
        <v>163946.9</v>
      </c>
      <c r="I17" s="30">
        <f t="shared" si="2"/>
        <v>169538</v>
      </c>
      <c r="J17" s="30">
        <f t="shared" si="2"/>
        <v>169140.7</v>
      </c>
      <c r="K17" s="30">
        <f t="shared" si="2"/>
        <v>174884.9</v>
      </c>
      <c r="L17" s="30">
        <f t="shared" si="2"/>
        <v>187929.7</v>
      </c>
      <c r="M17" s="30">
        <f t="shared" si="2"/>
        <v>175710.538</v>
      </c>
      <c r="N17" s="32">
        <f t="shared" si="1"/>
        <v>1981852.4</v>
      </c>
      <c r="O17" s="15"/>
    </row>
    <row r="19" ht="12" hidden="1"/>
    <row r="20" spans="1:13" ht="12" hidden="1">
      <c r="A20" t="s">
        <v>60</v>
      </c>
      <c r="B20" s="15">
        <v>98086.2</v>
      </c>
      <c r="I20" s="88"/>
      <c r="J20" s="88"/>
      <c r="K20" s="88"/>
      <c r="L20" s="88"/>
      <c r="M20" s="88"/>
    </row>
    <row r="21" spans="1:2" ht="12" hidden="1">
      <c r="A21" t="s">
        <v>61</v>
      </c>
      <c r="B21" s="15">
        <f>B20-B17</f>
        <v>-43632.500000000015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2019-01-30T11:54:32Z</cp:lastPrinted>
  <dcterms:created xsi:type="dcterms:W3CDTF">2006-11-30T08:16:02Z</dcterms:created>
  <dcterms:modified xsi:type="dcterms:W3CDTF">2019-02-13T12:39:43Z</dcterms:modified>
  <cp:category/>
  <cp:version/>
  <cp:contentType/>
  <cp:contentStatus/>
</cp:coreProperties>
</file>